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612BE388-0613-4902-B7E6-205DF7F34371}"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Information'!$B$2:$BA$40</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82" i="9" l="1"/>
  <c r="BP181" i="4"/>
  <c r="BQ82" i="9"/>
  <c r="BC84" i="9" s="1"/>
  <c r="AI85" i="9"/>
  <c r="Q23" i="4"/>
  <c r="Q22" i="4"/>
  <c r="Q21" i="4"/>
  <c r="Q20" i="4"/>
  <c r="Q19" i="4"/>
  <c r="BA26" i="4"/>
  <c r="BQ48" i="4"/>
  <c r="BR82" i="9" l="1"/>
  <c r="BP48" i="4"/>
  <c r="AH28" i="4"/>
  <c r="AI84" i="9" l="1"/>
  <c r="AI83" i="9"/>
  <c r="O87" i="9"/>
  <c r="O86" i="9"/>
  <c r="O85" i="9"/>
  <c r="O84" i="9"/>
  <c r="O83" i="9"/>
  <c r="AH28" i="9"/>
  <c r="BP58" i="4"/>
  <c r="AV60" i="4"/>
  <c r="BL56" i="4"/>
  <c r="AV121" i="4" l="1"/>
  <c r="BP38" i="4"/>
  <c r="AV40" i="4"/>
  <c r="AY92" i="6"/>
  <c r="AX92" i="6"/>
  <c r="AU92" i="6"/>
  <c r="AT92" i="6"/>
  <c r="AV92" i="6" s="1"/>
  <c r="AW92" i="6" s="1"/>
  <c r="V26" i="9"/>
  <c r="BA95" i="6"/>
  <c r="BA94" i="6"/>
  <c r="BA93" i="6"/>
  <c r="AZ95" i="6"/>
  <c r="AZ94" i="6"/>
  <c r="AZ93" i="6"/>
  <c r="AY101" i="6"/>
  <c r="AY100" i="6"/>
  <c r="AY99" i="6"/>
  <c r="AY98" i="6"/>
  <c r="AY97" i="6"/>
  <c r="AY96" i="6"/>
  <c r="AY95" i="6"/>
  <c r="AY94" i="6"/>
  <c r="AY93" i="6"/>
  <c r="AX101" i="6"/>
  <c r="AZ101" i="6" s="1"/>
  <c r="BA101" i="6" s="1"/>
  <c r="AX100" i="6"/>
  <c r="AZ100" i="6" s="1"/>
  <c r="BA100" i="6" s="1"/>
  <c r="AX99" i="6"/>
  <c r="AZ99" i="6" s="1"/>
  <c r="BA99" i="6" s="1"/>
  <c r="AX98" i="6"/>
  <c r="AZ98" i="6" s="1"/>
  <c r="BA98" i="6" s="1"/>
  <c r="AX97" i="6"/>
  <c r="AZ97" i="6" s="1"/>
  <c r="BA97" i="6" s="1"/>
  <c r="AX96" i="6"/>
  <c r="AZ96" i="6" s="1"/>
  <c r="BA96" i="6" s="1"/>
  <c r="AX95" i="6"/>
  <c r="AX94" i="6"/>
  <c r="AX93" i="6"/>
  <c r="AW95" i="6"/>
  <c r="AW94" i="6"/>
  <c r="AW93" i="6"/>
  <c r="AV95" i="6"/>
  <c r="AV94" i="6"/>
  <c r="AV93" i="6"/>
  <c r="AU101" i="6"/>
  <c r="AU100" i="6"/>
  <c r="AU99" i="6"/>
  <c r="AU98" i="6"/>
  <c r="AU97" i="6"/>
  <c r="AU96" i="6"/>
  <c r="AU95" i="6"/>
  <c r="AU94" i="6"/>
  <c r="AU93" i="6"/>
  <c r="AT101" i="6"/>
  <c r="AV101" i="6" s="1"/>
  <c r="AW101" i="6" s="1"/>
  <c r="AT100" i="6"/>
  <c r="AV100" i="6" s="1"/>
  <c r="AW100" i="6" s="1"/>
  <c r="AT99" i="6"/>
  <c r="AV99" i="6" s="1"/>
  <c r="AW99" i="6" s="1"/>
  <c r="AT98" i="6"/>
  <c r="AV98" i="6" s="1"/>
  <c r="AW98" i="6" s="1"/>
  <c r="AT97" i="6"/>
  <c r="AV97" i="6" s="1"/>
  <c r="AW97" i="6" s="1"/>
  <c r="AT96" i="6"/>
  <c r="AV96" i="6" s="1"/>
  <c r="AW96" i="6" s="1"/>
  <c r="AT95" i="6"/>
  <c r="AT94" i="6"/>
  <c r="AT93" i="6"/>
  <c r="AQ92" i="6"/>
  <c r="AV149" i="4" l="1"/>
  <c r="BP147" i="4"/>
  <c r="BP143" i="4"/>
  <c r="BP141" i="4"/>
  <c r="BP139" i="4"/>
  <c r="BP135" i="4"/>
  <c r="BP130" i="4"/>
  <c r="BP128" i="4"/>
  <c r="AV141" i="4"/>
  <c r="BP121" i="4"/>
  <c r="AV135" i="4"/>
  <c r="BP137" i="4" s="1"/>
  <c r="AV153" i="4"/>
  <c r="BP153" i="4" s="1"/>
  <c r="AV151" i="4"/>
  <c r="BP150" i="4" s="1"/>
  <c r="BP149" i="4"/>
  <c r="BC85" i="9" l="1"/>
  <c r="AJ12" i="4" l="1"/>
  <c r="M102" i="6" l="1"/>
  <c r="G102" i="6"/>
  <c r="AQ102" i="6" l="1"/>
  <c r="AQ79" i="6"/>
  <c r="BA30" i="9"/>
  <c r="BD41" i="5" l="1"/>
  <c r="AV131" i="4" l="1"/>
  <c r="AV129" i="4"/>
  <c r="AP12" i="4" l="1"/>
  <c r="AP13" i="4" s="1"/>
  <c r="AP14" i="4" s="1"/>
  <c r="AP15" i="4" s="1"/>
  <c r="AH10" i="5" l="1"/>
  <c r="AV125" i="4" l="1"/>
  <c r="BP125" i="4" s="1"/>
  <c r="AH30" i="4"/>
  <c r="BE12" i="4" l="1"/>
  <c r="AZ12" i="4"/>
  <c r="AU12" i="4"/>
  <c r="AP16" i="4"/>
  <c r="AJ13" i="4"/>
  <c r="BP9" i="4"/>
  <c r="AU13" i="4" l="1"/>
  <c r="AU14" i="4" s="1"/>
  <c r="AU15" i="4" s="1"/>
  <c r="AU16" i="4" s="1"/>
  <c r="AU17" i="4" s="1"/>
  <c r="AU18" i="4" s="1"/>
  <c r="AU19" i="4" s="1"/>
  <c r="AU20" i="4" s="1"/>
  <c r="AU21" i="4" s="1"/>
  <c r="AU22" i="4" s="1"/>
  <c r="AU23" i="4" s="1"/>
  <c r="AP17" i="4"/>
  <c r="AP18" i="4" s="1"/>
  <c r="AP19" i="4" s="1"/>
  <c r="AP20" i="4" s="1"/>
  <c r="AP21" i="4" s="1"/>
  <c r="AP22" i="4" s="1"/>
  <c r="AP23" i="4" s="1"/>
  <c r="AJ14" i="4"/>
  <c r="AJ15" i="4" s="1"/>
  <c r="AJ16" i="4" s="1"/>
  <c r="AJ17" i="4" s="1"/>
  <c r="AJ18" i="4" s="1"/>
  <c r="AJ19" i="4" s="1"/>
  <c r="AJ20" i="4" s="1"/>
  <c r="AJ21" i="4" s="1"/>
  <c r="AJ22" i="4" s="1"/>
  <c r="AJ23" i="4" s="1"/>
  <c r="BE13" i="4"/>
  <c r="BE14" i="4" s="1"/>
  <c r="BE15" i="4" s="1"/>
  <c r="BE16" i="4" s="1"/>
  <c r="BE17" i="4" s="1"/>
  <c r="BE18" i="4" s="1"/>
  <c r="BE19" i="4" s="1"/>
  <c r="BE20" i="4" s="1"/>
  <c r="BE21" i="4" s="1"/>
  <c r="BE22" i="4" s="1"/>
  <c r="BE23" i="4" s="1"/>
  <c r="AZ13" i="4"/>
  <c r="AZ14" i="4" s="1"/>
  <c r="AZ15" i="4" s="1"/>
  <c r="AZ16" i="4" s="1"/>
  <c r="AZ17" i="4" s="1"/>
  <c r="AZ18" i="4" s="1"/>
  <c r="AZ19" i="4" s="1"/>
  <c r="AZ20" i="4" s="1"/>
  <c r="AZ21" i="4" s="1"/>
  <c r="AZ22" i="4" s="1"/>
  <c r="AZ23" i="4" s="1"/>
  <c r="AP24" i="4" l="1"/>
  <c r="BP113" i="4"/>
  <c r="AU24" i="4"/>
  <c r="AJ81" i="4" s="1"/>
  <c r="BE24" i="4"/>
  <c r="AJ77" i="4" s="1"/>
  <c r="AZ24" i="4"/>
  <c r="AJ24" i="4"/>
  <c r="AJ87" i="4" s="1"/>
  <c r="AJ83" i="4"/>
  <c r="S101" i="6"/>
  <c r="S100" i="6"/>
  <c r="S99" i="6"/>
  <c r="S98" i="6"/>
  <c r="S97" i="6"/>
  <c r="S96" i="6"/>
  <c r="S95" i="6"/>
  <c r="S94" i="6"/>
  <c r="S93" i="6"/>
  <c r="S92" i="6"/>
  <c r="AJ127" i="4" l="1"/>
  <c r="AV113" i="4"/>
  <c r="AV115" i="4" s="1"/>
  <c r="AV123" i="4" s="1"/>
  <c r="BP122" i="4" s="1"/>
  <c r="S102" i="6"/>
  <c r="BP114" i="4" l="1"/>
  <c r="AV127" i="4"/>
  <c r="AP27" i="6"/>
  <c r="AQ27" i="6" l="1"/>
  <c r="AH30" i="9"/>
  <c r="AZ30" i="9" l="1"/>
  <c r="AZ30" i="4"/>
  <c r="AZ28" i="4"/>
  <c r="V30" i="9" l="1"/>
  <c r="V28" i="9"/>
  <c r="BP119" i="4" l="1"/>
  <c r="AH34" i="9" l="1"/>
  <c r="AV147" i="4" l="1"/>
  <c r="AV143" i="4"/>
  <c r="N34" i="9" l="1"/>
  <c r="AZ28" i="9"/>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X94" i="10" l="1"/>
  <c r="AY94" i="10"/>
  <c r="AT94" i="10"/>
  <c r="AU94" i="10"/>
  <c r="AY99" i="10"/>
  <c r="AT99" i="10"/>
  <c r="AU99" i="10"/>
  <c r="AV99" i="10" s="1"/>
  <c r="AW99" i="10" s="1"/>
  <c r="AX99" i="10"/>
  <c r="AZ99" i="10" s="1"/>
  <c r="BA99" i="10" s="1"/>
  <c r="AY100" i="10"/>
  <c r="AT100" i="10"/>
  <c r="AU100" i="10"/>
  <c r="AV100" i="10" s="1"/>
  <c r="AW100" i="10" s="1"/>
  <c r="AX100" i="10"/>
  <c r="AU101" i="10"/>
  <c r="AX101" i="10"/>
  <c r="AY101" i="10"/>
  <c r="AT101" i="10"/>
  <c r="AY98" i="10"/>
  <c r="AT98" i="10"/>
  <c r="AU98" i="10"/>
  <c r="AX98" i="10"/>
  <c r="AX95" i="10"/>
  <c r="AY95" i="10"/>
  <c r="AT95" i="10"/>
  <c r="AU95" i="10"/>
  <c r="AX96" i="10"/>
  <c r="AY96" i="10"/>
  <c r="AT96" i="10"/>
  <c r="AU96" i="10"/>
  <c r="AX92" i="10"/>
  <c r="AU92" i="10"/>
  <c r="AT92" i="10"/>
  <c r="AY92" i="10"/>
  <c r="AX93" i="10"/>
  <c r="AY93" i="10"/>
  <c r="AT93" i="10"/>
  <c r="AU93" i="10"/>
  <c r="AX97" i="10"/>
  <c r="AY97" i="10"/>
  <c r="AT97" i="10"/>
  <c r="AU97" i="10"/>
  <c r="S97" i="10"/>
  <c r="S101" i="10"/>
  <c r="M102" i="10"/>
  <c r="S96" i="10"/>
  <c r="S100" i="10"/>
  <c r="AV98" i="10"/>
  <c r="AW98" i="10" s="1"/>
  <c r="AV96" i="10"/>
  <c r="AW96" i="10" s="1"/>
  <c r="G102" i="10"/>
  <c r="S93" i="10"/>
  <c r="S92" i="10"/>
  <c r="AQ92" i="10"/>
  <c r="AQ86" i="9"/>
  <c r="AQ85" i="9"/>
  <c r="BC86" i="9"/>
  <c r="AV46" i="9"/>
  <c r="AV52" i="9"/>
  <c r="AV50" i="9"/>
  <c r="AV48" i="9"/>
  <c r="BC34" i="9"/>
  <c r="AP27" i="10" s="1"/>
  <c r="AF27" i="10" s="1"/>
  <c r="AV97" i="10" l="1"/>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44" i="5"/>
  <c r="BH45" i="5" s="1"/>
  <c r="BH46" i="5" s="1"/>
  <c r="BG44" i="5"/>
  <c r="BG45" i="5" s="1"/>
  <c r="BG46" i="5" s="1"/>
  <c r="BF44" i="5"/>
  <c r="BF45" i="5" s="1"/>
  <c r="BE44" i="5"/>
  <c r="BE45" i="5" s="1"/>
  <c r="BD44" i="5"/>
  <c r="BC44" i="5"/>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C80" i="5" s="1"/>
  <c r="BC81" i="5" s="1"/>
  <c r="BC82" i="5" s="1"/>
  <c r="BH41" i="5"/>
  <c r="BG41" i="5"/>
  <c r="BF41" i="5"/>
  <c r="BE41" i="5"/>
  <c r="BC41" i="5"/>
  <c r="BD45" i="5" l="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D78" i="5" s="1"/>
  <c r="BD79" i="5" s="1"/>
  <c r="BD80" i="5" s="1"/>
  <c r="BC42" i="5"/>
  <c r="BH47" i="5"/>
  <c r="BH48" i="5" s="1"/>
  <c r="BH49" i="5" s="1"/>
  <c r="BH50" i="5" s="1"/>
  <c r="BG47" i="5"/>
  <c r="BG48" i="5" s="1"/>
  <c r="BG49" i="5" s="1"/>
  <c r="BG50" i="5" s="1"/>
  <c r="BG51" i="5" s="1"/>
  <c r="BG52" i="5" s="1"/>
  <c r="BG53" i="5" s="1"/>
  <c r="BG54" i="5" s="1"/>
  <c r="BG55" i="5" s="1"/>
  <c r="BG56" i="5" s="1"/>
  <c r="BG57" i="5" s="1"/>
  <c r="BF46" i="5"/>
  <c r="BF47" i="5" s="1"/>
  <c r="BF48" i="5" s="1"/>
  <c r="BF49" i="5" s="1"/>
  <c r="BF50" i="5" s="1"/>
  <c r="BF51" i="5" s="1"/>
  <c r="BF52" i="5" s="1"/>
  <c r="BF53" i="5" s="1"/>
  <c r="BF54" i="5" s="1"/>
  <c r="BF55" i="5" s="1"/>
  <c r="BF56" i="5" s="1"/>
  <c r="BF57" i="5" s="1"/>
  <c r="BF58" i="5" s="1"/>
  <c r="BF59" i="5" s="1"/>
  <c r="BF60" i="5" s="1"/>
  <c r="BE46" i="5"/>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E74" i="5" s="1"/>
  <c r="BE75" i="5" s="1"/>
  <c r="BE76" i="5" s="1"/>
  <c r="BD42" i="5" l="1"/>
  <c r="BH42" i="5"/>
  <c r="BE42" i="5"/>
  <c r="BG42" i="5"/>
  <c r="BF42" i="5"/>
  <c r="AF16" i="5" l="1"/>
  <c r="AF17" i="5"/>
  <c r="BP8" i="4" s="1"/>
  <c r="AV157" i="4"/>
  <c r="BP157" i="4" s="1"/>
  <c r="H51" i="10"/>
  <c r="H49" i="10"/>
  <c r="U20" i="10"/>
  <c r="U11" i="10"/>
  <c r="H103" i="9"/>
  <c r="H101" i="9"/>
  <c r="H51" i="6"/>
  <c r="H49" i="6"/>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O109" i="9"/>
  <c r="B1" i="9"/>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AO208" i="4"/>
  <c r="B1" i="4"/>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H200" i="4" l="1"/>
  <c r="AI192" i="4" l="1"/>
  <c r="H202" i="4"/>
  <c r="L7" i="4"/>
  <c r="BP7" i="4" s="1"/>
  <c r="AN5" i="4"/>
  <c r="L5" i="4"/>
  <c r="D45" i="6" s="1"/>
  <c r="M104" i="6" s="1"/>
  <c r="K12" i="4" l="1"/>
  <c r="K12" i="9" s="1"/>
  <c r="K13" i="4" l="1"/>
  <c r="Q13" i="4" s="1"/>
  <c r="Q12" i="4"/>
  <c r="R12" i="9"/>
  <c r="R13" i="9"/>
  <c r="K13" i="9"/>
  <c r="W12" i="4"/>
  <c r="Y12" i="9" s="1"/>
  <c r="K14" i="4"/>
  <c r="Q14" i="4" s="1"/>
  <c r="AV77" i="4"/>
  <c r="R14" i="9" l="1"/>
  <c r="K14" i="9"/>
  <c r="AH7" i="9"/>
  <c r="AF12" i="9"/>
  <c r="AC12" i="4"/>
  <c r="W13" i="4"/>
  <c r="Y13" i="9" s="1"/>
  <c r="AF13" i="9" l="1"/>
  <c r="AC13" i="4"/>
  <c r="W14" i="4"/>
  <c r="Y14" i="9" s="1"/>
  <c r="K15" i="4"/>
  <c r="Q15" i="4" s="1"/>
  <c r="AH7" i="4"/>
  <c r="R15" i="9" l="1"/>
  <c r="K15" i="9"/>
  <c r="AF14" i="9"/>
  <c r="K16" i="4"/>
  <c r="Q16" i="4" s="1"/>
  <c r="W15" i="4"/>
  <c r="Y15" i="9" s="1"/>
  <c r="AC14" i="4"/>
  <c r="R16" i="9" l="1"/>
  <c r="K16" i="9"/>
  <c r="AF15" i="9"/>
  <c r="AC15" i="4"/>
  <c r="K17" i="4"/>
  <c r="Q17" i="4" s="1"/>
  <c r="W16" i="4"/>
  <c r="Y16" i="9" s="1"/>
  <c r="R17" i="9" l="1"/>
  <c r="K17" i="9"/>
  <c r="AF16" i="9"/>
  <c r="K18" i="4"/>
  <c r="Q18" i="4" s="1"/>
  <c r="AC16" i="4"/>
  <c r="W17" i="4"/>
  <c r="Y17" i="9" s="1"/>
  <c r="R18" i="9" l="1"/>
  <c r="K18" i="9"/>
  <c r="AF17" i="9"/>
  <c r="K19" i="4"/>
  <c r="W18" i="4"/>
  <c r="AC17" i="4"/>
  <c r="R19" i="9" l="1"/>
  <c r="K19" i="9"/>
  <c r="AC18" i="4"/>
  <c r="Y18" i="9"/>
  <c r="AF18" i="9" s="1"/>
  <c r="W19" i="4"/>
  <c r="K20" i="4"/>
  <c r="BA26" i="9" l="1"/>
  <c r="AC19" i="4"/>
  <c r="Y19" i="9"/>
  <c r="AF19" i="9" s="1"/>
  <c r="R20" i="9"/>
  <c r="K20" i="9"/>
  <c r="K21" i="4"/>
  <c r="W20" i="4"/>
  <c r="Y20" i="9" s="1"/>
  <c r="K22" i="4"/>
  <c r="AC20" i="4" l="1"/>
  <c r="R22" i="9"/>
  <c r="K22" i="9"/>
  <c r="R21" i="9"/>
  <c r="K21" i="9"/>
  <c r="AF20" i="9"/>
  <c r="W21" i="4"/>
  <c r="W22" i="4"/>
  <c r="Y22" i="9" s="1"/>
  <c r="K23" i="4"/>
  <c r="AC21" i="4" l="1"/>
  <c r="Y21" i="9"/>
  <c r="AF21" i="9"/>
  <c r="AF22" i="9"/>
  <c r="R23" i="9"/>
  <c r="R24" i="9" s="1"/>
  <c r="K23" i="9"/>
  <c r="BA28" i="4"/>
  <c r="AJ107" i="4" s="1"/>
  <c r="W23" i="4"/>
  <c r="K24" i="4"/>
  <c r="AC22" i="4"/>
  <c r="Q24" i="4"/>
  <c r="W24" i="4" l="1"/>
  <c r="Y23" i="9"/>
  <c r="Y24" i="9" s="1"/>
  <c r="K24" i="9"/>
  <c r="AV105" i="4"/>
  <c r="BA28" i="9"/>
  <c r="AJ58" i="9" s="1"/>
  <c r="Y24" i="4"/>
  <c r="AC23" i="4"/>
  <c r="BR48" i="4" s="1"/>
  <c r="BS48" i="4" s="1"/>
  <c r="Y195" i="4"/>
  <c r="AO202" i="4"/>
  <c r="E192" i="4"/>
  <c r="AO200" i="4"/>
  <c r="BL104" i="4" l="1"/>
  <c r="AV58" i="9"/>
  <c r="BL57" i="9" s="1"/>
  <c r="AF23" i="9"/>
  <c r="AF24" i="9" s="1"/>
  <c r="AV36" i="9" s="1"/>
  <c r="AV40" i="9" s="1"/>
  <c r="AC24" i="4"/>
  <c r="AV48" i="4" s="1"/>
  <c r="AJ103" i="4"/>
  <c r="AV139" i="4"/>
  <c r="AV36" i="4" l="1"/>
  <c r="AV42" i="9"/>
  <c r="AV54" i="9" s="1"/>
  <c r="AJ60" i="9"/>
  <c r="AJ85" i="4"/>
  <c r="AV137" i="4"/>
  <c r="AV107" i="4"/>
  <c r="BL106" i="4" s="1"/>
  <c r="AJ155" i="4"/>
  <c r="BP155" i="4" s="1"/>
  <c r="AV97" i="4"/>
  <c r="AV95" i="4"/>
  <c r="AV93" i="4"/>
  <c r="AV91" i="4"/>
  <c r="AV89" i="4"/>
  <c r="AV42" i="4" l="1"/>
  <c r="AV60" i="9"/>
  <c r="AV62" i="9" s="1"/>
  <c r="AV155" i="4"/>
  <c r="AJ79" i="4"/>
  <c r="BP42" i="4" l="1"/>
  <c r="AV44" i="4"/>
  <c r="AV66" i="9"/>
  <c r="AV68" i="9" s="1"/>
  <c r="AQ62" i="10"/>
  <c r="AV79" i="4"/>
  <c r="BP76" i="4" s="1"/>
  <c r="AJ99" i="4"/>
  <c r="BP62" i="9"/>
  <c r="AF64" i="10"/>
  <c r="AF62" i="10" s="1"/>
  <c r="AV83" i="4"/>
  <c r="AV81" i="4"/>
  <c r="BL99" i="4" l="1"/>
  <c r="AJ159" i="4"/>
  <c r="AV50" i="4"/>
  <c r="AV52" i="4" s="1"/>
  <c r="BP72" i="4" s="1"/>
  <c r="AV72" i="4" s="1"/>
  <c r="AQ71" i="10"/>
  <c r="AR71" i="10" s="1"/>
  <c r="BP67" i="9"/>
  <c r="AV99" i="4"/>
  <c r="AF66" i="10"/>
  <c r="AV70" i="9"/>
  <c r="AV72" i="9" s="1"/>
  <c r="AV74" i="9" s="1"/>
  <c r="AV87" i="4"/>
  <c r="AQ69" i="10" l="1"/>
  <c r="AR69" i="10" s="1"/>
  <c r="AQ72" i="10"/>
  <c r="AR72" i="10" l="1"/>
  <c r="AF71" i="10" s="1"/>
  <c r="AQ70" i="10"/>
  <c r="AV85" i="4"/>
  <c r="AR70" i="10" l="1"/>
  <c r="AF69" i="10" s="1"/>
  <c r="AF73" i="10" s="1"/>
  <c r="AF79" i="10" s="1"/>
  <c r="AV76" i="9" s="1"/>
  <c r="B78" i="9" s="1"/>
  <c r="AV101" i="4"/>
  <c r="AV103" i="4" l="1"/>
  <c r="AV78" i="9"/>
  <c r="BC83" i="9" l="1"/>
  <c r="AI86" i="9" l="1"/>
  <c r="BC87" i="9" s="1"/>
  <c r="B89" i="9" s="1"/>
  <c r="AI87" i="9"/>
  <c r="AV145" i="4"/>
  <c r="AV89" i="9" l="1"/>
  <c r="BP144" i="4"/>
  <c r="BL141" i="4" l="1"/>
  <c r="BK141" i="4" s="1"/>
  <c r="AV133" i="4"/>
  <c r="BL143" i="4"/>
  <c r="BK143" i="4" s="1"/>
  <c r="AV159" i="4" l="1"/>
  <c r="BP159" i="4" s="1"/>
  <c r="AV161" i="4"/>
  <c r="AQ62" i="6" l="1"/>
  <c r="AF64" i="6"/>
  <c r="AF62" i="6" s="1"/>
  <c r="BP160" i="4"/>
  <c r="AV165" i="4"/>
  <c r="AV167" i="4" l="1"/>
  <c r="AV169" i="4" s="1"/>
  <c r="AQ71" i="6"/>
  <c r="AR71" i="6" s="1"/>
  <c r="AF66" i="6"/>
  <c r="AQ72" i="6" l="1"/>
  <c r="AR72" i="6" s="1"/>
  <c r="AF71" i="6" s="1"/>
  <c r="AV171" i="4"/>
  <c r="AV173" i="4" s="1"/>
  <c r="AQ69" i="6"/>
  <c r="AR69" i="6" s="1"/>
  <c r="AQ70" i="6" l="1"/>
  <c r="AR70" i="6" l="1"/>
  <c r="AF69" i="6" s="1"/>
  <c r="AF73" i="6" s="1"/>
  <c r="AF79" i="6" s="1"/>
  <c r="AV175" i="4" s="1"/>
  <c r="B177" i="4" l="1"/>
  <c r="AV177" i="4"/>
  <c r="BQ181" i="4" l="1"/>
  <c r="BR181" i="4" l="1"/>
  <c r="BC183" i="4"/>
  <c r="AI186" i="4"/>
  <c r="AI185" i="4"/>
  <c r="BC182" i="4"/>
  <c r="BC186" i="4" l="1"/>
  <c r="AV188" i="4" s="1"/>
  <c r="B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7. The following incomes shall be deemed to be received in the previous year :—</t>
        </r>
        <r>
          <rPr>
            <sz val="9"/>
            <color indexed="81"/>
            <rFont val="Tahoma"/>
            <family val="2"/>
          </rPr>
          <t xml:space="preserve">
 (iii)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 xml:space="preserve">.
</t>
        </r>
        <r>
          <rPr>
            <b/>
            <sz val="9"/>
            <color indexed="81"/>
            <rFont val="Tahoma"/>
            <family val="2"/>
          </rPr>
          <t xml:space="preserve">
"Salary"
17. For the purposes of sections 15 and 16 and of this section,—</t>
        </r>
        <r>
          <rPr>
            <sz val="9"/>
            <color indexed="81"/>
            <rFont val="Tahoma"/>
            <family val="2"/>
          </rPr>
          <t xml:space="preserve">
(viii)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r>
          <rPr>
            <b/>
            <sz val="9"/>
            <color indexed="81"/>
            <rFont val="Tahoma"/>
            <family val="2"/>
          </rPr>
          <t>.</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Rebate of income-tax in case of certain individuals.:
156. (1)</t>
        </r>
        <r>
          <rPr>
            <sz val="9"/>
            <color indexed="81"/>
            <rFont val="Tahoma"/>
            <family val="2"/>
          </rPr>
          <t xml:space="preserve"> A resident individual assessee shall be entitled to a deduction of </t>
        </r>
        <r>
          <rPr>
            <b/>
            <sz val="9"/>
            <color indexed="81"/>
            <rFont val="Tahoma"/>
            <family val="2"/>
          </rPr>
          <t xml:space="preserve">100% of income-tax payable </t>
        </r>
        <r>
          <rPr>
            <sz val="9"/>
            <color indexed="81"/>
            <rFont val="Tahoma"/>
            <family val="2"/>
          </rPr>
          <t xml:space="preserve">or </t>
        </r>
        <r>
          <rPr>
            <b/>
            <sz val="9"/>
            <color indexed="81"/>
            <rFont val="Tahoma"/>
            <family val="2"/>
          </rPr>
          <t>twelve thousand five hundred rupees</t>
        </r>
        <r>
          <rPr>
            <sz val="9"/>
            <color indexed="81"/>
            <rFont val="Tahoma"/>
            <family val="2"/>
          </rPr>
          <t xml:space="preserve">, whichever is less, from the income-tax (computed before allowing the deduction under this section) chargeable on the total income for any tax year if the </t>
        </r>
        <r>
          <rPr>
            <b/>
            <sz val="9"/>
            <color indexed="81"/>
            <rFont val="Tahoma"/>
            <family val="2"/>
          </rPr>
          <t xml:space="preserve">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 refund due,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Income deemed to be received :
7. The following incomes shall be deemed to be received in the previous year :—
 (iii)</t>
        </r>
        <r>
          <rPr>
            <sz val="9"/>
            <color indexed="81"/>
            <rFont val="Tahoma"/>
            <family val="2"/>
          </rPr>
          <t xml:space="preserve">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1 :
</t>
        </r>
        <r>
          <rPr>
            <sz val="9"/>
            <color indexed="81"/>
            <rFont val="Tahoma"/>
            <family val="2"/>
          </rPr>
          <t>Please enter the amount of Salary Arrear received.</t>
        </r>
      </text>
    </comment>
    <comment ref="BC34" authorId="0" shapeId="0" xr:uid="{E7247FEF-D19D-4CFD-9E0B-BD53C46B29DE}">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 xml:space="preserve">(a) </t>
        </r>
        <r>
          <rPr>
            <b/>
            <sz val="9"/>
            <color indexed="81"/>
            <rFont val="Tahoma"/>
            <family val="2"/>
          </rPr>
          <t>₹ 75,000</t>
        </r>
        <r>
          <rPr>
            <sz val="9"/>
            <color indexed="81"/>
            <rFont val="Tahoma"/>
            <family val="2"/>
          </rPr>
          <t xml:space="preserve">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t>
        </r>
        <r>
          <rPr>
            <b/>
            <sz val="9"/>
            <color indexed="81"/>
            <rFont val="Tahoma"/>
            <family val="2"/>
          </rPr>
          <t>amount payable or refundable</t>
        </r>
        <r>
          <rPr>
            <sz val="9"/>
            <color indexed="81"/>
            <rFont val="Tahoma"/>
            <family val="2"/>
          </rPr>
          <t xml:space="preserv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rounded off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if the last figure in that</t>
        </r>
        <r>
          <rPr>
            <b/>
            <sz val="9"/>
            <color indexed="81"/>
            <rFont val="Tahoma"/>
            <family val="2"/>
          </rPr>
          <t xml:space="preserve"> 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multiple of ten, if the last figure is </t>
        </r>
        <r>
          <rPr>
            <b/>
            <sz val="9"/>
            <color indexed="81"/>
            <rFont val="Tahoma"/>
            <family val="2"/>
          </rPr>
          <t xml:space="preserve">less than five,
</t>
        </r>
        <r>
          <rPr>
            <sz val="9"/>
            <color indexed="81"/>
            <rFont val="Tahoma"/>
            <family val="2"/>
          </rPr>
          <t xml:space="preserve">
and the amount so rounded off shall be deemed to be the total income of the assessee or the</t>
        </r>
        <r>
          <rPr>
            <b/>
            <sz val="9"/>
            <color indexed="81"/>
            <rFont val="Tahoma"/>
            <family val="2"/>
          </rPr>
          <t xml:space="preserve"> 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<sst xmlns="http://schemas.openxmlformats.org/spreadsheetml/2006/main" count="639" uniqueCount="243">
  <si>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</si>
  <si>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</si>
  <si>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</si>
  <si>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</si>
  <si>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</si>
  <si>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</si>
  <si>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</si>
  <si>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</si>
  <si>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</si>
  <si>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</si>
  <si>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</si>
  <si>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</si>
  <si>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</si>
  <si>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</si>
  <si>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</si>
  <si>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</si>
  <si>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</si>
  <si>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</si>
  <si>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</si>
  <si>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</si>
  <si>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</si>
  <si>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</si>
  <si>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</si>
  <si>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</si>
  <si>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</si>
  <si>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</si>
  <si>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</si>
  <si>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</si>
  <si>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</si>
  <si>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</si>
  <si>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</si>
  <si>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</si>
  <si>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</si>
  <si>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</si>
  <si>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</si>
  <si>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</si>
  <si>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</si>
  <si>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</si>
  <si>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</si>
  <si>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</si>
  <si>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</si>
  <si>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</si>
  <si>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</si>
  <si>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</si>
  <si>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</si>
  <si>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</si>
  <si>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</si>
  <si>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</si>
  <si>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</si>
  <si>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</si>
  <si>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</si>
  <si>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</si>
  <si>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</si>
  <si>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</si>
  <si>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</si>
  <si>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</si>
  <si>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</si>
  <si>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</si>
  <si>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</si>
  <si>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</si>
  <si>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</si>
  <si>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</si>
  <si>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</si>
  <si>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</si>
  <si>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</si>
  <si>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</si>
  <si>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</si>
  <si>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</si>
  <si>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</si>
  <si>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</si>
  <si>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</si>
  <si>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</si>
  <si>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</si>
  <si>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</si>
  <si>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</si>
  <si>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</si>
  <si>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</si>
  <si>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</si>
  <si>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</si>
  <si>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</si>
  <si>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</si>
  <si>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</si>
  <si>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</si>
  <si>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</si>
  <si>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</si>
  <si>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</si>
  <si>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</si>
  <si>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</si>
  <si>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</si>
  <si>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</si>
  <si>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</si>
  <si>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</si>
  <si>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</si>
  <si>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</si>
  <si>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</si>
  <si>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</si>
  <si>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</si>
  <si>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</si>
  <si>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</si>
  <si>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</si>
  <si>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</si>
  <si>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</si>
  <si>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</si>
  <si>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</si>
  <si>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</si>
  <si>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</si>
  <si>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</si>
  <si>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</si>
  <si>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</si>
  <si>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</si>
  <si>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</si>
  <si>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</si>
  <si>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</si>
  <si>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Office Location</t>
  </si>
  <si>
    <t>Annual Increment Month</t>
  </si>
  <si>
    <t>Father's Name</t>
  </si>
  <si>
    <t>No</t>
  </si>
  <si>
    <t>Name of College</t>
  </si>
  <si>
    <t>Prepared by Libin Kuriakose, St. Thomas College, Palai</t>
  </si>
  <si>
    <t>Interest Income from Savings Bank Accounts in India</t>
  </si>
  <si>
    <t>Preventive Health Checkup</t>
  </si>
  <si>
    <t xml:space="preserve"> </t>
  </si>
  <si>
    <t>Monthly Deductions through SPARK</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</si>
  <si>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</si>
  <si>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</si>
  <si>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</si>
  <si>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</si>
  <si>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</si>
  <si>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</si>
  <si>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</si>
  <si>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</si>
  <si>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</si>
  <si>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</si>
  <si>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</si>
  <si>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</si>
  <si>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</si>
  <si>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</si>
  <si>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t>Basic Pay in March</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</si>
  <si>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</si>
  <si>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</si>
  <si>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</si>
  <si>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</si>
  <si>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</si>
  <si>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</si>
  <si>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</si>
  <si>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</si>
  <si>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</si>
  <si>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</si>
  <si>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</si>
  <si>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</si>
  <si>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</si>
  <si>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</si>
  <si>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</si>
  <si>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</si>
  <si>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</si>
  <si>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</si>
  <si>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</si>
  <si>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</si>
  <si>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</si>
  <si>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</si>
  <si>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</si>
  <si>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</si>
  <si>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PROFORMA FOR CALCULATION OF ANTICIPATORY INCOME TAX</t>
  </si>
  <si>
    <t>2025-2026</t>
  </si>
  <si>
    <r>
      <t xml:space="preserve">Income Tax Calculator in                 
</t>
    </r>
    <r>
      <rPr>
        <b/>
        <i/>
        <sz val="14"/>
        <color rgb="FFFF0000"/>
        <rFont val="Times New Roman"/>
        <family val="1"/>
      </rPr>
      <t>Old Regime of Tax Slab</t>
    </r>
  </si>
  <si>
    <t>This income tax calculator is for those who are drawing the salary as per 7th UGC pay revision on March 2025 and onwards.</t>
  </si>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</sst>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8"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b/>
      <i/>
      <sz val="12"/>
      <color theme="1"/>
      <name val="Times New Roman"/>
      <family val="1"/>
    </font>
    <font>
      <b/>
      <i/>
      <sz val="12"/>
      <color theme="1"/>
      <name val="Calibri"/>
      <family val="2"/>
      <scheme val="minor"/>
    </font>
    <font>
      <i/>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65">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center"/>
    </xf>
    <xf numFmtId="0" fontId="3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3"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66" fillId="0" borderId="0" xfId="0" applyFont="1" applyAlignment="1">
      <alignment horizontal="center" vertical="center"/>
    </xf>
    <xf numFmtId="0" fontId="65" fillId="0" borderId="0" xfId="0" applyFont="1" applyAlignment="1">
      <alignment horizontal="center" vertical="center" wrapText="1"/>
    </xf>
    <xf numFmtId="0" fontId="23"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23"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23" fillId="8" borderId="1" xfId="0" applyFont="1" applyFill="1" applyBorder="1" applyAlignment="1" applyProtection="1">
      <alignment horizontal="left" vertical="center" wrapText="1"/>
      <protection locked="0"/>
    </xf>
    <xf numFmtId="0" fontId="23" fillId="8" borderId="2" xfId="0"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49" fontId="23" fillId="8" borderId="1" xfId="0" applyNumberFormat="1" applyFont="1" applyFill="1" applyBorder="1" applyAlignment="1" applyProtection="1">
      <alignment horizontal="left" vertical="center"/>
      <protection locked="0"/>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horizontal="center" vertical="center"/>
    </xf>
    <xf numFmtId="0" fontId="66" fillId="0" borderId="0" xfId="0" applyFont="1" applyAlignment="1">
      <alignment horizontal="center"/>
    </xf>
    <xf numFmtId="0" fontId="54"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0" fontId="41" fillId="0" borderId="0" xfId="0" applyFont="1" applyAlignment="1">
      <alignment horizontal="left" vertical="center"/>
    </xf>
    <xf numFmtId="0" fontId="71" fillId="0" borderId="0" xfId="0" applyFont="1" applyAlignment="1">
      <alignment horizontal="left" vertical="center"/>
    </xf>
    <xf numFmtId="42" fontId="41" fillId="8" borderId="1" xfId="0" applyNumberFormat="1" applyFont="1" applyFill="1" applyBorder="1" applyAlignment="1" applyProtection="1">
      <alignment horizontal="right" vertical="center"/>
      <protection locked="0"/>
    </xf>
    <xf numFmtId="42" fontId="71" fillId="8" borderId="2" xfId="0" applyNumberFormat="1" applyFont="1" applyFill="1" applyBorder="1" applyAlignment="1" applyProtection="1">
      <alignment horizontal="right" vertical="center"/>
      <protection locked="0"/>
    </xf>
    <xf numFmtId="42" fontId="71" fillId="8" borderId="3" xfId="0" applyNumberFormat="1" applyFont="1" applyFill="1" applyBorder="1" applyAlignment="1" applyProtection="1">
      <alignment horizontal="right" vertical="center"/>
      <protection locked="0"/>
    </xf>
    <xf numFmtId="42" fontId="23" fillId="8" borderId="1" xfId="0" applyNumberFormat="1" applyFont="1" applyFill="1" applyBorder="1" applyAlignment="1" applyProtection="1">
      <alignment horizontal="left" vertical="center"/>
      <protection locked="0"/>
    </xf>
    <xf numFmtId="42" fontId="0" fillId="8" borderId="2" xfId="0" applyNumberFormat="1" applyFill="1" applyBorder="1" applyAlignment="1" applyProtection="1">
      <alignment horizontal="left" vertical="center"/>
      <protection locked="0"/>
    </xf>
    <xf numFmtId="42" fontId="0" fillId="8" borderId="3" xfId="0" applyNumberFormat="1" applyFill="1" applyBorder="1" applyAlignment="1" applyProtection="1">
      <alignment horizontal="left" vertical="center"/>
      <protection locked="0"/>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0" fillId="0" borderId="3" xfId="0" applyBorder="1" applyAlignment="1" applyProtection="1">
      <alignment horizontal="right"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2" fontId="19" fillId="7" borderId="1" xfId="0" applyNumberFormat="1" applyFont="1" applyFill="1" applyBorder="1" applyAlignment="1" applyProtection="1">
      <alignment horizontal="right" vertical="center"/>
      <protection locked="0"/>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19" fillId="0" borderId="1" xfId="0" applyFont="1" applyBorder="1" applyAlignment="1">
      <alignment horizontal="center" vertical="center"/>
    </xf>
    <xf numFmtId="0" fontId="19" fillId="0" borderId="3" xfId="0" applyFont="1" applyBorder="1" applyAlignment="1">
      <alignment horizontal="center"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30" fillId="0" borderId="0" xfId="0" applyFont="1" applyAlignment="1">
      <alignment horizontal="left" vertical="center" wrapText="1"/>
    </xf>
    <xf numFmtId="0" fontId="73" fillId="0" borderId="0" xfId="0" applyFont="1" applyAlignment="1">
      <alignment horizontal="left" vertical="center" wrapText="1"/>
    </xf>
    <xf numFmtId="0" fontId="72" fillId="0" borderId="0" xfId="0" applyFont="1" applyAlignment="1">
      <alignment horizontal="left" vertical="center" wrapText="1"/>
    </xf>
    <xf numFmtId="0" fontId="86" fillId="0" borderId="0" xfId="0" applyFont="1" applyAlignment="1">
      <alignment horizontal="left" vertical="center" wrapText="1"/>
    </xf>
    <xf numFmtId="0" fontId="10" fillId="0" borderId="0" xfId="0" applyFont="1" applyAlignment="1">
      <alignment horizontal="left" vertical="center" wrapText="1"/>
    </xf>
    <xf numFmtId="42" fontId="20" fillId="6" borderId="1"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9" fillId="0" borderId="1" xfId="0" applyFont="1" applyBorder="1" applyAlignment="1">
      <alignment horizontal="left" vertical="center"/>
    </xf>
    <xf numFmtId="42" fontId="42" fillId="6" borderId="1" xfId="0" applyNumberFormat="1" applyFont="1" applyFill="1" applyBorder="1" applyAlignment="1">
      <alignment horizontal="right" vertical="center"/>
    </xf>
    <xf numFmtId="0" fontId="79" fillId="0" borderId="2" xfId="0" applyFont="1" applyBorder="1" applyAlignment="1">
      <alignment horizontal="right" vertical="center"/>
    </xf>
    <xf numFmtId="0" fontId="79" fillId="0" borderId="3" xfId="0" applyFont="1" applyBorder="1" applyAlignment="1">
      <alignment horizontal="right"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20" fillId="6" borderId="2" xfId="0" applyNumberFormat="1" applyFont="1" applyFill="1" applyBorder="1" applyAlignment="1">
      <alignment horizontal="right" vertical="center"/>
    </xf>
    <xf numFmtId="42" fontId="20" fillId="6" borderId="3" xfId="0" applyNumberFormat="1" applyFont="1" applyFill="1" applyBorder="1" applyAlignment="1">
      <alignment horizontal="right" vertical="center"/>
    </xf>
    <xf numFmtId="0" fontId="23" fillId="0" borderId="17" xfId="0" applyFont="1" applyBorder="1" applyAlignment="1">
      <alignment horizontal="left" vertical="center"/>
    </xf>
    <xf numFmtId="0" fontId="19" fillId="0" borderId="17" xfId="0" applyFont="1" applyBorder="1" applyAlignment="1">
      <alignment horizontal="left" vertical="center"/>
    </xf>
    <xf numFmtId="42" fontId="23" fillId="6" borderId="17" xfId="0" applyNumberFormat="1" applyFont="1" applyFill="1" applyBorder="1" applyAlignment="1">
      <alignment horizontal="right" vertical="center"/>
    </xf>
    <xf numFmtId="42" fontId="23" fillId="7" borderId="17" xfId="0" applyNumberFormat="1" applyFont="1" applyFill="1" applyBorder="1" applyAlignment="1" applyProtection="1">
      <alignment horizontal="right" vertical="center"/>
      <protection locked="0"/>
    </xf>
    <xf numFmtId="42" fontId="8" fillId="7" borderId="17"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8" fillId="6" borderId="17" xfId="0" applyNumberFormat="1" applyFont="1" applyFill="1" applyBorder="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42" fontId="19" fillId="6" borderId="1" xfId="0" applyNumberFormat="1" applyFont="1" applyFill="1" applyBorder="1" applyAlignment="1">
      <alignment horizontal="righ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0" fontId="19" fillId="0" borderId="17" xfId="0" applyFont="1" applyBorder="1" applyAlignment="1">
      <alignment horizontal="center" vertical="center"/>
    </xf>
    <xf numFmtId="42" fontId="19" fillId="7" borderId="17" xfId="0" applyNumberFormat="1" applyFont="1" applyFill="1" applyBorder="1" applyAlignment="1" applyProtection="1">
      <alignment horizontal="right" vertical="center"/>
      <protection locked="0"/>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83" fillId="0" borderId="1" xfId="0" applyFont="1" applyBorder="1" applyAlignment="1">
      <alignment horizontal="left" vertical="center"/>
    </xf>
    <xf numFmtId="0" fontId="84" fillId="0" borderId="2" xfId="0" applyFont="1" applyBorder="1" applyAlignment="1">
      <alignment horizontal="left" vertical="center"/>
    </xf>
    <xf numFmtId="0" fontId="84" fillId="0" borderId="3" xfId="0" applyFont="1"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24"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42" fontId="19" fillId="6" borderId="17" xfId="0" applyNumberFormat="1" applyFont="1" applyFill="1" applyBorder="1" applyAlignment="1">
      <alignment horizontal="right" vertical="center"/>
    </xf>
    <xf numFmtId="0" fontId="23" fillId="0" borderId="17"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6" fillId="0" borderId="2" xfId="0" applyFont="1" applyBorder="1" applyAlignment="1">
      <alignment horizontal="left" vertical="center" wrapText="1"/>
    </xf>
    <xf numFmtId="0" fontId="76" fillId="0" borderId="3" xfId="0" applyFont="1" applyBorder="1" applyAlignment="1">
      <alignment horizontal="left" vertical="center" wrapText="1"/>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82" fillId="0" borderId="1" xfId="0" applyFont="1" applyBorder="1" applyAlignment="1">
      <alignment horizontal="left" vertical="center" wrapText="1"/>
    </xf>
    <xf numFmtId="0" fontId="82" fillId="0" borderId="2" xfId="0" applyFont="1" applyBorder="1" applyAlignment="1">
      <alignment horizontal="left" vertical="center" wrapText="1"/>
    </xf>
    <xf numFmtId="0" fontId="82" fillId="0" borderId="3" xfId="0" applyFont="1" applyBorder="1" applyAlignment="1">
      <alignment horizontal="left" vertical="center" wrapText="1"/>
    </xf>
    <xf numFmtId="0" fontId="19" fillId="6" borderId="0" xfId="0" applyFont="1" applyFill="1" applyAlignment="1">
      <alignment horizontal="left" vertical="center"/>
    </xf>
    <xf numFmtId="0" fontId="0" fillId="6" borderId="0" xfId="0" applyFill="1" applyAlignment="1">
      <alignment horizontal="left" vertical="center"/>
    </xf>
    <xf numFmtId="0" fontId="71" fillId="7" borderId="2" xfId="0" applyFont="1" applyFill="1" applyBorder="1" applyAlignment="1" applyProtection="1">
      <alignment horizontal="left" vertical="center" wrapText="1"/>
      <protection locked="0"/>
    </xf>
    <xf numFmtId="0" fontId="71" fillId="7" borderId="3"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2" fontId="24" fillId="0" borderId="17" xfId="0" applyNumberFormat="1" applyFont="1" applyBorder="1" applyAlignment="1">
      <alignment horizontal="left" vertical="center"/>
    </xf>
    <xf numFmtId="0" fontId="76" fillId="0" borderId="17" xfId="0" applyFont="1" applyBorder="1" applyAlignment="1">
      <alignment horizontal="left" vertical="center"/>
    </xf>
    <xf numFmtId="49" fontId="23" fillId="0" borderId="1" xfId="0" applyNumberFormat="1" applyFont="1" applyBorder="1" applyAlignment="1">
      <alignment horizontal="center" vertical="center"/>
    </xf>
    <xf numFmtId="0" fontId="19" fillId="0" borderId="2" xfId="0" applyFont="1" applyBorder="1" applyAlignment="1">
      <alignment horizontal="center"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0" fontId="68" fillId="0" borderId="0" xfId="0" applyFont="1" applyAlignment="1">
      <alignment horizontal="left" vertical="center"/>
    </xf>
    <xf numFmtId="0" fontId="69" fillId="0" borderId="0" xfId="0" applyFont="1"/>
    <xf numFmtId="0" fontId="0" fillId="0" borderId="2" xfId="0" applyBorder="1" applyAlignment="1">
      <alignment horizontal="right" vertical="center"/>
    </xf>
    <xf numFmtId="0" fontId="0" fillId="0" borderId="3" xfId="0" applyBorder="1" applyAlignment="1">
      <alignment horizontal="right" vertical="center"/>
    </xf>
    <xf numFmtId="42" fontId="80" fillId="6" borderId="1" xfId="0" applyNumberFormat="1" applyFont="1" applyFill="1" applyBorder="1" applyAlignment="1">
      <alignment horizontal="right" vertical="center"/>
    </xf>
    <xf numFmtId="42" fontId="81" fillId="0" borderId="2" xfId="0" applyNumberFormat="1" applyFont="1" applyBorder="1" applyAlignment="1">
      <alignment horizontal="right" vertical="center"/>
    </xf>
    <xf numFmtId="42" fontId="81" fillId="0" borderId="3" xfId="0" applyNumberFormat="1" applyFont="1" applyBorder="1" applyAlignment="1">
      <alignment horizontal="right" vertical="center"/>
    </xf>
    <xf numFmtId="0" fontId="23" fillId="0" borderId="4" xfId="0" applyFont="1" applyBorder="1" applyAlignment="1">
      <alignment horizontal="left" vertical="center"/>
    </xf>
    <xf numFmtId="0" fontId="19" fillId="0" borderId="5" xfId="0" applyFont="1" applyBorder="1" applyAlignment="1">
      <alignment horizontal="lef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10" fillId="0" borderId="2" xfId="0" applyFont="1" applyBorder="1" applyAlignment="1">
      <alignment horizontal="left" vertical="center" wrapText="1"/>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2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17" xfId="0" applyFont="1" applyBorder="1" applyAlignment="1">
      <alignment horizontal="left" vertical="center" wrapText="1"/>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0" fontId="20" fillId="0" borderId="17" xfId="0" applyFont="1" applyBorder="1" applyAlignment="1">
      <alignment horizontal="left" vertical="center" wrapText="1"/>
    </xf>
    <xf numFmtId="42" fontId="41" fillId="6" borderId="1" xfId="0" applyNumberFormat="1" applyFont="1" applyFill="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49" fontId="23" fillId="0" borderId="4" xfId="0" applyNumberFormat="1" applyFont="1" applyBorder="1" applyAlignment="1">
      <alignment horizontal="left" vertical="center" wrapText="1"/>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42" fontId="85" fillId="0" borderId="17" xfId="0" applyNumberFormat="1" applyFont="1" applyBorder="1" applyAlignment="1">
      <alignment horizontal="left" vertical="center"/>
    </xf>
    <xf numFmtId="0" fontId="87" fillId="0" borderId="17" xfId="0" applyFont="1" applyBorder="1" applyAlignment="1">
      <alignment horizontal="left" vertical="center"/>
    </xf>
    <xf numFmtId="0" fontId="19" fillId="0" borderId="11" xfId="0" applyFont="1" applyBorder="1" applyAlignment="1">
      <alignment horizontal="left" vertical="center"/>
    </xf>
    <xf numFmtId="0" fontId="0" fillId="0" borderId="10" xfId="0" applyBorder="1" applyAlignment="1">
      <alignmen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0" fontId="23" fillId="0" borderId="17" xfId="0" quotePrefix="1" applyFont="1" applyBorder="1" applyAlignment="1">
      <alignment horizontal="left" vertical="center"/>
    </xf>
    <xf numFmtId="0" fontId="19" fillId="0" borderId="6" xfId="0" applyFont="1" applyBorder="1" applyAlignment="1">
      <alignment horizontal="left" vertical="center"/>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23" fillId="0" borderId="2" xfId="0" applyFont="1" applyBorder="1" applyAlignment="1">
      <alignment horizontal="center" vertical="center"/>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9" fillId="0" borderId="0" xfId="0" applyFont="1" applyAlignment="1">
      <alignment horizontal="left" vertical="center"/>
    </xf>
    <xf numFmtId="0" fontId="58" fillId="0" borderId="0" xfId="0" applyFont="1" applyAlignment="1">
      <alignment horizontal="left" vertical="center"/>
    </xf>
    <xf numFmtId="0" fontId="70"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61" fillId="0" borderId="0" xfId="0" applyFont="1" applyAlignment="1">
      <alignment horizontal="center" vertical="center" wrapText="1"/>
    </xf>
    <xf numFmtId="0" fontId="53" fillId="0" borderId="0" xfId="0" applyFont="1" applyAlignment="1">
      <alignment horizontal="center" vertical="center" wrapText="1"/>
    </xf>
    <xf numFmtId="0" fontId="59" fillId="0" borderId="0" xfId="0" applyFont="1" applyAlignment="1">
      <alignment horizontal="center" vertical="center" wrapText="1"/>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37" fillId="0" borderId="0" xfId="0" applyFont="1" applyAlignment="1">
      <alignment horizontal="left" vertical="center" wrapText="1"/>
    </xf>
    <xf numFmtId="0" fontId="30" fillId="0" borderId="0" xfId="0" applyFont="1" applyAlignment="1">
      <alignment horizontal="left" wrapText="1"/>
    </xf>
    <xf numFmtId="49" fontId="23" fillId="0" borderId="4" xfId="0" applyNumberFormat="1" applyFont="1" applyBorder="1" applyAlignment="1">
      <alignment horizontal="left" vertical="center"/>
    </xf>
    <xf numFmtId="0" fontId="75" fillId="0" borderId="0" xfId="0" applyFont="1" applyAlignment="1">
      <alignment horizontal="left" vertical="center"/>
    </xf>
    <xf numFmtId="0" fontId="78" fillId="0" borderId="0" xfId="0" applyFont="1" applyAlignment="1">
      <alignment horizontal="left" vertical="center"/>
    </xf>
    <xf numFmtId="0" fontId="23" fillId="0" borderId="3" xfId="0" applyFont="1" applyBorder="1" applyAlignment="1">
      <alignment horizontal="center" vertical="center"/>
    </xf>
    <xf numFmtId="0" fontId="19" fillId="0" borderId="10" xfId="0" applyFont="1" applyBorder="1" applyAlignment="1">
      <alignment horizontal="left" vertical="center"/>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16" xfId="0" applyFont="1" applyBorder="1" applyAlignment="1">
      <alignment horizontal="center" vertical="center"/>
    </xf>
    <xf numFmtId="0" fontId="2" fillId="0" borderId="4" xfId="0" applyFont="1" applyBorder="1" applyAlignment="1">
      <alignment horizontal="justify" vertical="justify" wrapText="1"/>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2" fillId="0" borderId="17" xfId="0" applyFont="1" applyBorder="1" applyAlignment="1">
      <alignment horizontal="left" vertical="center"/>
    </xf>
    <xf numFmtId="0" fontId="0" fillId="0" borderId="1" xfId="0" applyBorder="1" applyAlignment="1">
      <alignment horizontal="left" vertical="center"/>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3" fillId="3" borderId="17" xfId="0" applyFont="1" applyFill="1" applyBorder="1" applyAlignment="1">
      <alignment horizontal="left" vertical="center"/>
    </xf>
    <xf numFmtId="0" fontId="35" fillId="0" borderId="0" xfId="0" applyFont="1" applyAlignment="1">
      <alignment horizontal="left" vertical="center" wrapText="1"/>
    </xf>
    <xf numFmtId="0" fontId="2" fillId="0" borderId="0" xfId="0" applyFont="1"/>
    <xf numFmtId="0" fontId="1" fillId="0" borderId="0" xfId="0" applyFont="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xf numFmtId="0" fontId="15" fillId="0" borderId="17" xfId="0" applyFont="1" applyBorder="1" applyAlignment="1">
      <alignment horizontal="left" vertical="center"/>
    </xf>
    <xf numFmtId="0" fontId="68"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0" fillId="0" borderId="2" xfId="0" applyBorder="1"/>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19" fillId="6" borderId="1" xfId="0" quotePrefix="1" applyFont="1" applyFill="1" applyBorder="1" applyAlignment="1">
      <alignment horizontal="left" vertical="center"/>
    </xf>
    <xf numFmtId="0" fontId="8" fillId="0" borderId="17" xfId="0" applyFont="1" applyBorder="1" applyAlignment="1">
      <alignment horizontal="center"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3" xfId="0" applyFont="1" applyBorder="1" applyAlignment="1">
      <alignment horizontal="left" vertical="center" wrapText="1"/>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10" fillId="0" borderId="2" xfId="0" applyFont="1" applyBorder="1" applyAlignment="1">
      <alignment horizontal="left"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0" fillId="0" borderId="10" xfId="0" applyBorder="1" applyAlignment="1">
      <alignment horizontal="center" vertical="center"/>
    </xf>
    <xf numFmtId="0" fontId="43" fillId="0" borderId="0" xfId="0" applyFont="1" applyAlignment="1">
      <alignment horizontal="left" vertical="center"/>
    </xf>
    <xf numFmtId="0" fontId="62"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60" fillId="0" borderId="0" xfId="0" applyFont="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wrapText="1"/>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82"/>
  <sheetViews>
    <sheetView showGridLines="0" showRowColHeaders="0" tabSelected="1" workbookViewId="0">
      <selection activeCell="M3" sqref="M3:AS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95" t="s">
        <v>242</v>
      </c>
      <c r="BE2" s="95"/>
      <c r="BF2" s="95"/>
      <c r="BG2" s="95"/>
      <c r="BH2" s="95"/>
      <c r="BI2" s="95"/>
      <c r="BJ2" s="95"/>
    </row>
    <row r="3" spans="3:63" ht="17.399999999999999" x14ac:dyDescent="0.25">
      <c r="C3" s="96" t="s">
        <v>117</v>
      </c>
      <c r="D3" s="96"/>
      <c r="E3" s="96"/>
      <c r="F3" s="96"/>
      <c r="G3" s="96"/>
      <c r="H3" s="96"/>
      <c r="I3" s="96"/>
      <c r="J3" s="97"/>
      <c r="K3" s="98"/>
      <c r="L3" s="14" t="s">
        <v>5</v>
      </c>
      <c r="M3" s="102"/>
      <c r="N3" s="103"/>
      <c r="O3" s="103"/>
      <c r="P3" s="103"/>
      <c r="Q3" s="103"/>
      <c r="R3" s="103"/>
      <c r="S3" s="103"/>
      <c r="T3" s="103"/>
      <c r="U3" s="103"/>
      <c r="V3" s="103"/>
      <c r="W3" s="103"/>
      <c r="X3" s="103"/>
      <c r="Y3" s="103"/>
      <c r="Z3" s="103"/>
      <c r="AA3" s="103"/>
      <c r="AB3" s="103"/>
      <c r="AC3" s="103"/>
      <c r="AD3" s="104"/>
      <c r="AE3" s="104"/>
      <c r="AF3" s="104"/>
      <c r="AG3" s="104"/>
      <c r="AH3" s="104"/>
      <c r="AI3" s="104"/>
      <c r="AJ3" s="104"/>
      <c r="AK3" s="104"/>
      <c r="AL3" s="104"/>
      <c r="AM3" s="104"/>
      <c r="AN3" s="104"/>
      <c r="AO3" s="104"/>
      <c r="AP3" s="104"/>
      <c r="AQ3" s="104"/>
      <c r="AR3" s="104"/>
      <c r="AS3" s="105"/>
      <c r="AT3" s="36"/>
      <c r="BD3" s="95"/>
      <c r="BE3" s="95"/>
      <c r="BF3" s="95"/>
      <c r="BG3" s="95"/>
      <c r="BH3" s="95"/>
      <c r="BI3" s="95"/>
      <c r="BJ3" s="95"/>
    </row>
    <row r="4" spans="3:63" ht="6.75" customHeight="1" x14ac:dyDescent="0.25">
      <c r="BD4" s="95"/>
      <c r="BE4" s="95"/>
      <c r="BF4" s="95"/>
      <c r="BG4" s="95"/>
      <c r="BH4" s="95"/>
      <c r="BI4" s="95"/>
      <c r="BJ4" s="95"/>
    </row>
    <row r="5" spans="3:63" ht="8.25" customHeight="1" x14ac:dyDescent="0.25">
      <c r="BD5" s="95"/>
      <c r="BE5" s="95"/>
      <c r="BF5" s="95"/>
      <c r="BG5" s="95"/>
      <c r="BH5" s="95"/>
      <c r="BI5" s="95"/>
      <c r="BJ5" s="95"/>
    </row>
    <row r="6" spans="3:63" ht="18" customHeight="1" x14ac:dyDescent="0.25">
      <c r="C6" s="96" t="s">
        <v>13</v>
      </c>
      <c r="D6" s="96"/>
      <c r="E6" s="96"/>
      <c r="F6" s="96"/>
      <c r="G6" s="96"/>
      <c r="H6" s="96"/>
      <c r="I6" s="96"/>
      <c r="J6" s="97"/>
      <c r="K6" s="14" t="s">
        <v>5</v>
      </c>
      <c r="L6" s="99"/>
      <c r="M6" s="103"/>
      <c r="N6" s="103"/>
      <c r="O6" s="103"/>
      <c r="P6" s="103"/>
      <c r="Q6" s="103"/>
      <c r="R6" s="103"/>
      <c r="S6" s="103"/>
      <c r="T6" s="103"/>
      <c r="U6" s="103"/>
      <c r="V6" s="103"/>
      <c r="W6" s="103"/>
      <c r="X6" s="103"/>
      <c r="Y6" s="103"/>
      <c r="Z6" s="103"/>
      <c r="AA6" s="103"/>
      <c r="AB6" s="106"/>
      <c r="AC6" s="34"/>
      <c r="AD6" s="96" t="s">
        <v>105</v>
      </c>
      <c r="AE6" s="98"/>
      <c r="AF6" s="98"/>
      <c r="AG6" s="98"/>
      <c r="AH6" s="98"/>
      <c r="AI6" s="98"/>
      <c r="AJ6" s="14" t="s">
        <v>5</v>
      </c>
      <c r="AK6" s="99"/>
      <c r="AL6" s="104"/>
      <c r="AM6" s="104"/>
      <c r="AN6" s="104"/>
      <c r="AO6" s="104"/>
      <c r="AP6" s="104"/>
      <c r="AQ6" s="104"/>
      <c r="AR6" s="104"/>
      <c r="AS6" s="104"/>
      <c r="AT6" s="104"/>
      <c r="AU6" s="104"/>
      <c r="AV6" s="104"/>
      <c r="AW6" s="104"/>
      <c r="AX6" s="104"/>
      <c r="AY6" s="104"/>
      <c r="AZ6" s="105"/>
      <c r="BA6" s="72"/>
      <c r="BB6" s="72"/>
      <c r="BC6" s="72"/>
      <c r="BD6" s="95"/>
      <c r="BE6" s="95"/>
      <c r="BF6" s="95"/>
      <c r="BG6" s="95"/>
      <c r="BH6" s="95"/>
      <c r="BI6" s="95"/>
      <c r="BJ6" s="95"/>
    </row>
    <row r="7" spans="3:63" ht="9" customHeight="1" x14ac:dyDescent="0.25">
      <c r="BD7" s="95"/>
      <c r="BE7" s="95"/>
      <c r="BF7" s="95"/>
      <c r="BG7" s="95"/>
      <c r="BH7" s="95"/>
      <c r="BI7" s="95"/>
      <c r="BJ7" s="95"/>
      <c r="BK7" s="43" t="s">
        <v>150</v>
      </c>
    </row>
    <row r="8" spans="3:63" ht="18" customHeight="1" x14ac:dyDescent="0.25">
      <c r="C8" s="96" t="s">
        <v>115</v>
      </c>
      <c r="D8" s="96"/>
      <c r="E8" s="96"/>
      <c r="F8" s="96"/>
      <c r="G8" s="96"/>
      <c r="H8" s="96"/>
      <c r="I8" s="96"/>
      <c r="J8" s="97"/>
      <c r="K8" s="14" t="s">
        <v>5</v>
      </c>
      <c r="L8" s="99"/>
      <c r="M8" s="104"/>
      <c r="N8" s="104"/>
      <c r="O8" s="104"/>
      <c r="P8" s="104"/>
      <c r="Q8" s="104"/>
      <c r="R8" s="104"/>
      <c r="S8" s="104"/>
      <c r="T8" s="104"/>
      <c r="U8" s="104"/>
      <c r="V8" s="104"/>
      <c r="W8" s="104"/>
      <c r="X8" s="104"/>
      <c r="Y8" s="104"/>
      <c r="Z8" s="104"/>
      <c r="AA8" s="104"/>
      <c r="AB8" s="105"/>
      <c r="BD8" s="94" t="s">
        <v>21</v>
      </c>
      <c r="BE8" s="94"/>
      <c r="BF8" s="94"/>
      <c r="BG8" s="94"/>
      <c r="BH8" s="94"/>
      <c r="BI8" s="94"/>
      <c r="BJ8" s="94"/>
      <c r="BK8" s="43" t="s">
        <v>151</v>
      </c>
    </row>
    <row r="9" spans="3:63" ht="9" customHeight="1" x14ac:dyDescent="0.25">
      <c r="BD9" s="94"/>
      <c r="BE9" s="94"/>
      <c r="BF9" s="94"/>
      <c r="BG9" s="94"/>
      <c r="BH9" s="94"/>
      <c r="BI9" s="94"/>
      <c r="BJ9" s="94"/>
      <c r="BK9" s="43" t="s">
        <v>152</v>
      </c>
    </row>
    <row r="10" spans="3:63" ht="18" customHeight="1" x14ac:dyDescent="0.25">
      <c r="C10" s="96" t="s">
        <v>15</v>
      </c>
      <c r="D10" s="96"/>
      <c r="E10" s="96"/>
      <c r="F10" s="96"/>
      <c r="G10" s="96"/>
      <c r="H10" s="96"/>
      <c r="I10" s="96"/>
      <c r="J10" s="97"/>
      <c r="K10" s="14" t="s">
        <v>5</v>
      </c>
      <c r="L10" s="107"/>
      <c r="M10" s="104"/>
      <c r="N10" s="104"/>
      <c r="O10" s="104"/>
      <c r="P10" s="104"/>
      <c r="Q10" s="104"/>
      <c r="R10" s="104"/>
      <c r="S10" s="104"/>
      <c r="T10" s="104"/>
      <c r="U10" s="104"/>
      <c r="V10" s="104"/>
      <c r="W10" s="104"/>
      <c r="X10" s="104"/>
      <c r="Y10" s="104"/>
      <c r="Z10" s="104"/>
      <c r="AA10" s="104"/>
      <c r="AB10" s="105"/>
      <c r="AH10" s="35" t="str">
        <f>IF(AND(ISBLANK(L10),ISNUMBER(O16)),"Please select a Designation","")</f>
        <v/>
      </c>
      <c r="BD10" s="110" t="s">
        <v>124</v>
      </c>
      <c r="BE10" s="110"/>
      <c r="BF10" s="110"/>
      <c r="BG10" s="110"/>
      <c r="BH10" s="110"/>
      <c r="BI10" s="110"/>
      <c r="BJ10" s="110"/>
      <c r="BK10" s="43" t="s">
        <v>153</v>
      </c>
    </row>
    <row r="11" spans="3:63" ht="10.5" customHeight="1" x14ac:dyDescent="0.25">
      <c r="G11" s="43" t="s">
        <v>118</v>
      </c>
      <c r="BD11" s="110"/>
      <c r="BE11" s="110"/>
      <c r="BF11" s="110"/>
      <c r="BG11" s="110"/>
      <c r="BH11" s="110"/>
      <c r="BI11" s="110"/>
      <c r="BJ11" s="110"/>
      <c r="BK11" s="43" t="s">
        <v>154</v>
      </c>
    </row>
    <row r="12" spans="3:63" ht="18" customHeight="1" x14ac:dyDescent="0.25">
      <c r="C12" s="96" t="s">
        <v>114</v>
      </c>
      <c r="D12" s="96"/>
      <c r="E12" s="96"/>
      <c r="F12" s="96"/>
      <c r="G12" s="96"/>
      <c r="H12" s="96"/>
      <c r="I12" s="96"/>
      <c r="J12" s="97"/>
      <c r="K12" s="98"/>
      <c r="L12" s="98"/>
      <c r="M12" s="98"/>
      <c r="N12" s="98"/>
      <c r="O12" s="98"/>
      <c r="P12" s="14" t="s">
        <v>5</v>
      </c>
      <c r="Q12" s="99"/>
      <c r="R12" s="100"/>
      <c r="S12" s="100"/>
      <c r="T12" s="100"/>
      <c r="U12" s="100"/>
      <c r="V12" s="100"/>
      <c r="W12" s="100"/>
      <c r="X12" s="100"/>
      <c r="Y12" s="100"/>
      <c r="Z12" s="101"/>
      <c r="AD12" s="96" t="s">
        <v>112</v>
      </c>
      <c r="AE12" s="98"/>
      <c r="AF12" s="98"/>
      <c r="AG12" s="98"/>
      <c r="AH12" s="98"/>
      <c r="AI12" s="98"/>
      <c r="AJ12" s="98"/>
      <c r="AK12" s="98"/>
      <c r="AL12" s="98"/>
      <c r="AM12" s="14" t="s">
        <v>5</v>
      </c>
      <c r="AN12" s="99"/>
      <c r="AO12" s="103"/>
      <c r="AP12" s="103"/>
      <c r="AQ12" s="103"/>
      <c r="AR12" s="103"/>
      <c r="AS12" s="103"/>
      <c r="AT12" s="103"/>
      <c r="AU12" s="103"/>
      <c r="AV12" s="103"/>
      <c r="AW12" s="103"/>
      <c r="AX12" s="103"/>
      <c r="AY12" s="103"/>
      <c r="AZ12" s="106"/>
      <c r="BD12" s="111" t="s">
        <v>36</v>
      </c>
      <c r="BE12" s="112"/>
      <c r="BF12" s="112"/>
      <c r="BG12" s="112"/>
      <c r="BH12" s="112"/>
      <c r="BI12" s="112"/>
      <c r="BJ12" s="112"/>
      <c r="BK12" s="43" t="s">
        <v>155</v>
      </c>
    </row>
    <row r="13" spans="3:63" ht="9" customHeight="1" x14ac:dyDescent="0.25">
      <c r="BD13" s="112"/>
      <c r="BE13" s="112"/>
      <c r="BF13" s="112"/>
      <c r="BG13" s="112"/>
      <c r="BH13" s="112"/>
      <c r="BI13" s="112"/>
      <c r="BJ13" s="112"/>
      <c r="BK13" s="43" t="s">
        <v>7</v>
      </c>
    </row>
    <row r="14" spans="3:63" ht="18" customHeight="1" x14ac:dyDescent="0.6">
      <c r="C14" s="96" t="s">
        <v>113</v>
      </c>
      <c r="D14" s="96"/>
      <c r="E14" s="96"/>
      <c r="F14" s="96"/>
      <c r="G14" s="96"/>
      <c r="H14" s="96"/>
      <c r="I14" s="96"/>
      <c r="J14" s="97"/>
      <c r="K14" s="14" t="s">
        <v>5</v>
      </c>
      <c r="L14" s="99"/>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4"/>
      <c r="AK14" s="105"/>
      <c r="AL14" s="35"/>
      <c r="BD14" s="73"/>
      <c r="BE14" s="115" t="s">
        <v>130</v>
      </c>
      <c r="BF14" s="116"/>
      <c r="BG14" s="116"/>
      <c r="BH14" s="116"/>
      <c r="BI14" s="116"/>
      <c r="BK14" s="43" t="s">
        <v>156</v>
      </c>
    </row>
    <row r="15" spans="3:63" ht="9" customHeight="1" x14ac:dyDescent="0.3">
      <c r="BD15" s="6"/>
      <c r="BE15" s="116"/>
      <c r="BF15" s="116"/>
      <c r="BG15" s="116"/>
      <c r="BH15" s="116"/>
      <c r="BI15" s="116"/>
      <c r="BK15" s="43" t="s">
        <v>159</v>
      </c>
    </row>
    <row r="16" spans="3:63" ht="18" customHeight="1" x14ac:dyDescent="0.25">
      <c r="C16" s="96" t="s">
        <v>137</v>
      </c>
      <c r="D16" s="96"/>
      <c r="E16" s="96"/>
      <c r="F16" s="96"/>
      <c r="G16" s="96"/>
      <c r="H16" s="96"/>
      <c r="I16" s="96"/>
      <c r="J16" s="97"/>
      <c r="K16" s="98"/>
      <c r="L16" s="98"/>
      <c r="M16" s="98"/>
      <c r="N16" s="14" t="s">
        <v>5</v>
      </c>
      <c r="O16" s="122"/>
      <c r="P16" s="123"/>
      <c r="Q16" s="123"/>
      <c r="R16" s="123"/>
      <c r="S16" s="123"/>
      <c r="T16" s="123"/>
      <c r="U16" s="123"/>
      <c r="V16" s="123"/>
      <c r="W16" s="123"/>
      <c r="X16" s="123"/>
      <c r="Y16" s="123"/>
      <c r="Z16" s="123"/>
      <c r="AA16" s="123"/>
      <c r="AB16" s="123"/>
      <c r="AC16" s="123"/>
      <c r="AD16" s="124"/>
      <c r="AF16" s="35" t="str">
        <f>IF(AND(ISBLANK(L10),ISBLANK(O16)),"",IF(AND(ISTEXT(L6), ISTEXT(L10), ISBLANK(O16)),"Please enter the basic pay in March.",IF(OR(AND(OR(L10="Assistant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O16&gt;224100,BH42))),"Please enter a valid basic pay of the present post.","")))</f>
        <v/>
      </c>
      <c r="BK16" s="43" t="s">
        <v>157</v>
      </c>
    </row>
    <row r="17" spans="3:63" ht="7.5" customHeight="1" x14ac:dyDescent="0.25">
      <c r="AF17" s="43" t="str">
        <f>IF(OR(AND(OR(L10="Assistant Professor - Level 10",L10="College Librarian - Level 10"),OR(O16&lt;57700, O16&gt;182400,BC42)),AND(OR(L10="Assistant Professor - Level 11",L10="College Librarian - Level 11"),OR(O16&lt;68900, O16&gt;205500,BD42)),AND(OR(L10="Assistant Professor - Level 12",L10="College Librarian - Level 12"),OR(O16&lt;79800, O16&gt;211500,BE42)),AND(OR(L10="Associate Professor - Level 13A",L10="College Librarian - Level 13A"),OR(O16&lt;131400, O16&gt;217100,BF42)),AND(L10="Professor - Level 14",OR(O16&lt;144200, O16&gt;218200,BG42)),AND(L10="Professor - Level 15",OR(O16&lt;182200, O16&gt;224100,BH42))),"No","Yes")</f>
        <v>Yes</v>
      </c>
      <c r="BE17" s="113" t="s">
        <v>165</v>
      </c>
      <c r="BF17" s="113"/>
      <c r="BG17" s="113"/>
      <c r="BH17" s="113"/>
      <c r="BI17" s="113"/>
      <c r="BK17" s="43" t="s">
        <v>158</v>
      </c>
    </row>
    <row r="18" spans="3:63" ht="16.2" x14ac:dyDescent="0.25">
      <c r="C18" s="125" t="s">
        <v>122</v>
      </c>
      <c r="D18" s="125"/>
      <c r="E18" s="125"/>
      <c r="F18" s="125"/>
      <c r="G18" s="125"/>
      <c r="H18" s="125"/>
      <c r="I18" s="125"/>
      <c r="J18" s="126"/>
      <c r="K18" s="127"/>
      <c r="L18" s="127"/>
      <c r="M18" s="127"/>
      <c r="N18" s="127"/>
      <c r="O18" s="127"/>
      <c r="P18" s="127"/>
      <c r="Q18" s="127"/>
      <c r="R18" s="127"/>
      <c r="S18" s="127"/>
      <c r="T18" s="127"/>
      <c r="U18" s="127"/>
      <c r="V18" s="127"/>
      <c r="W18" s="127"/>
      <c r="X18" s="127"/>
      <c r="Y18" s="127"/>
      <c r="Z18" s="127"/>
      <c r="AA18" s="127"/>
      <c r="AB18" s="127"/>
      <c r="AD18" s="43" t="s">
        <v>128</v>
      </c>
      <c r="BE18" s="113"/>
      <c r="BF18" s="113"/>
      <c r="BG18" s="113"/>
      <c r="BH18" s="113"/>
      <c r="BI18" s="113"/>
    </row>
    <row r="19" spans="3:63" ht="9.75" customHeight="1" x14ac:dyDescent="0.25">
      <c r="BE19" s="113"/>
      <c r="BF19" s="113"/>
      <c r="BG19" s="113"/>
      <c r="BH19" s="113"/>
      <c r="BI19" s="113"/>
    </row>
    <row r="20" spans="3:63" ht="18" customHeight="1" x14ac:dyDescent="0.25">
      <c r="C20" s="117" t="s">
        <v>16</v>
      </c>
      <c r="D20" s="118"/>
      <c r="E20" s="118"/>
      <c r="F20" s="14" t="s">
        <v>5</v>
      </c>
      <c r="G20" s="119"/>
      <c r="H20" s="120"/>
      <c r="I20" s="120"/>
      <c r="J20" s="120"/>
      <c r="K20" s="128"/>
      <c r="M20" s="117" t="s">
        <v>149</v>
      </c>
      <c r="N20" s="118"/>
      <c r="O20" s="118"/>
      <c r="P20" s="118"/>
      <c r="Q20" s="118"/>
      <c r="R20" s="14" t="s">
        <v>5</v>
      </c>
      <c r="S20" s="119"/>
      <c r="T20" s="120"/>
      <c r="U20" s="120"/>
      <c r="V20" s="121"/>
      <c r="X20" s="117" t="s">
        <v>17</v>
      </c>
      <c r="Y20" s="118"/>
      <c r="Z20" s="118"/>
      <c r="AA20" s="14" t="s">
        <v>5</v>
      </c>
      <c r="AB20" s="119"/>
      <c r="AC20" s="120"/>
      <c r="AD20" s="120"/>
      <c r="AE20" s="121"/>
      <c r="AG20" s="117" t="s">
        <v>18</v>
      </c>
      <c r="AH20" s="118"/>
      <c r="AI20" s="118"/>
      <c r="AJ20" s="14" t="s">
        <v>5</v>
      </c>
      <c r="AK20" s="119"/>
      <c r="AL20" s="120"/>
      <c r="AM20" s="120"/>
      <c r="AN20" s="121"/>
      <c r="AP20" s="117" t="s">
        <v>82</v>
      </c>
      <c r="AQ20" s="118"/>
      <c r="AR20" s="118"/>
      <c r="AS20" s="14" t="s">
        <v>5</v>
      </c>
      <c r="AT20" s="119"/>
      <c r="AU20" s="120"/>
      <c r="AV20" s="120"/>
      <c r="AW20" s="120"/>
      <c r="AX20" s="121"/>
      <c r="BE20" s="113"/>
      <c r="BF20" s="113"/>
      <c r="BG20" s="113"/>
      <c r="BH20" s="113"/>
      <c r="BI20" s="113"/>
    </row>
    <row r="21" spans="3:63" ht="9" customHeight="1" x14ac:dyDescent="0.25">
      <c r="AG21" s="43"/>
      <c r="BE21" s="113"/>
      <c r="BF21" s="113"/>
      <c r="BG21" s="113"/>
      <c r="BH21" s="113"/>
      <c r="BI21" s="113"/>
    </row>
    <row r="22" spans="3:63" x14ac:dyDescent="0.25">
      <c r="C22" s="131" t="s">
        <v>221</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F22" s="133" t="s">
        <v>5</v>
      </c>
      <c r="AG22" s="135" t="s">
        <v>116</v>
      </c>
      <c r="AH22" s="136"/>
      <c r="AI22" s="136"/>
      <c r="AJ22" s="136"/>
      <c r="AK22" s="136"/>
      <c r="AL22" s="137"/>
      <c r="BE22" s="114"/>
      <c r="BF22" s="114"/>
      <c r="BG22" s="114"/>
      <c r="BH22" s="114"/>
      <c r="BI22" s="114"/>
    </row>
    <row r="23" spans="3:63" ht="15" customHeight="1" x14ac:dyDescent="0.25">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F23" s="134"/>
      <c r="AG23" s="138"/>
      <c r="AH23" s="139"/>
      <c r="AI23" s="139"/>
      <c r="AJ23" s="139"/>
      <c r="AK23" s="139"/>
      <c r="AL23" s="140"/>
      <c r="BD23" s="74"/>
      <c r="BE23" s="108" t="s">
        <v>127</v>
      </c>
      <c r="BF23" s="109"/>
      <c r="BG23" s="109"/>
      <c r="BH23" s="109"/>
      <c r="BI23" s="109"/>
    </row>
    <row r="24" spans="3:63" ht="9.9" customHeight="1" x14ac:dyDescent="0.2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BD24" s="74"/>
      <c r="BE24" s="108"/>
      <c r="BF24" s="109"/>
      <c r="BG24" s="109"/>
      <c r="BH24" s="109"/>
      <c r="BI24" s="109"/>
    </row>
    <row r="25" spans="3:63" ht="15" customHeight="1" x14ac:dyDescent="0.25">
      <c r="C25" s="131" t="s">
        <v>222</v>
      </c>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F25" s="133" t="s">
        <v>5</v>
      </c>
      <c r="AG25" s="135" t="s">
        <v>116</v>
      </c>
      <c r="AH25" s="136"/>
      <c r="AI25" s="136"/>
      <c r="AJ25" s="136"/>
      <c r="AK25" s="136"/>
      <c r="AL25" s="137"/>
      <c r="BD25" s="74"/>
      <c r="BE25" s="108"/>
      <c r="BF25" s="109"/>
      <c r="BG25" s="109"/>
      <c r="BH25" s="109"/>
      <c r="BI25" s="109"/>
    </row>
    <row r="26" spans="3:63" ht="15" customHeight="1" x14ac:dyDescent="0.25">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F26" s="134"/>
      <c r="AG26" s="138"/>
      <c r="AH26" s="139"/>
      <c r="AI26" s="139"/>
      <c r="AJ26" s="139"/>
      <c r="AK26" s="139"/>
      <c r="AL26" s="140"/>
      <c r="BD26" s="74"/>
      <c r="BE26" s="108"/>
      <c r="BF26" s="109"/>
      <c r="BG26" s="109"/>
      <c r="BH26" s="109"/>
      <c r="BI26" s="109"/>
    </row>
    <row r="27" spans="3:63" ht="9.9" customHeight="1" x14ac:dyDescent="0.25">
      <c r="BD27" s="74"/>
      <c r="BE27" s="109"/>
      <c r="BF27" s="109"/>
      <c r="BG27" s="109"/>
      <c r="BH27" s="109"/>
      <c r="BI27" s="109"/>
    </row>
    <row r="28" spans="3:63" ht="15" customHeight="1" x14ac:dyDescent="0.25">
      <c r="C28" s="131" t="s">
        <v>223</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F28" s="133" t="s">
        <v>5</v>
      </c>
      <c r="AG28" s="135" t="s">
        <v>116</v>
      </c>
      <c r="AH28" s="136"/>
      <c r="AI28" s="136"/>
      <c r="AJ28" s="136"/>
      <c r="AK28" s="136"/>
      <c r="AL28" s="137"/>
      <c r="BD28" s="74"/>
      <c r="BE28" s="109"/>
      <c r="BF28" s="109"/>
      <c r="BG28" s="109"/>
      <c r="BH28" s="109"/>
      <c r="BI28" s="109"/>
    </row>
    <row r="29" spans="3:63" ht="15" customHeight="1" x14ac:dyDescent="0.25">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F29" s="134"/>
      <c r="AG29" s="138"/>
      <c r="AH29" s="139"/>
      <c r="AI29" s="139"/>
      <c r="AJ29" s="139"/>
      <c r="AK29" s="139"/>
      <c r="AL29" s="140"/>
      <c r="BD29" s="74"/>
      <c r="BE29" s="109"/>
      <c r="BF29" s="109"/>
      <c r="BG29" s="109"/>
      <c r="BH29" s="109"/>
      <c r="BI29" s="109"/>
    </row>
    <row r="30" spans="3:63" ht="9.9" customHeight="1" x14ac:dyDescent="0.25">
      <c r="BD30" s="74"/>
      <c r="BE30" s="109"/>
      <c r="BF30" s="109"/>
      <c r="BG30" s="109"/>
      <c r="BH30" s="109"/>
      <c r="BI30" s="109"/>
    </row>
    <row r="31" spans="3:63" ht="15" customHeight="1" x14ac:dyDescent="0.25">
      <c r="C31" s="131" t="s">
        <v>166</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F31" s="133" t="s">
        <v>5</v>
      </c>
      <c r="AG31" s="135" t="s">
        <v>116</v>
      </c>
      <c r="AH31" s="136"/>
      <c r="AI31" s="136"/>
      <c r="AJ31" s="136"/>
      <c r="AK31" s="136"/>
      <c r="AL31" s="137"/>
      <c r="BD31" s="74"/>
      <c r="BE31" s="109"/>
      <c r="BF31" s="109"/>
      <c r="BG31" s="109"/>
      <c r="BH31" s="109"/>
      <c r="BI31" s="109"/>
    </row>
    <row r="32" spans="3:63" ht="15" customHeight="1" x14ac:dyDescent="0.25">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F32" s="134"/>
      <c r="AG32" s="138"/>
      <c r="AH32" s="139"/>
      <c r="AI32" s="139"/>
      <c r="AJ32" s="139"/>
      <c r="AK32" s="139"/>
      <c r="AL32" s="140"/>
      <c r="BD32" s="74"/>
      <c r="BE32" s="109"/>
      <c r="BF32" s="109"/>
      <c r="BG32" s="109"/>
      <c r="BH32" s="109"/>
      <c r="BI32" s="109"/>
    </row>
    <row r="33" spans="3:61" ht="9.9" customHeight="1" x14ac:dyDescent="0.25">
      <c r="BD33" s="74"/>
      <c r="BE33" s="109"/>
      <c r="BF33" s="109"/>
      <c r="BG33" s="109"/>
      <c r="BH33" s="109"/>
      <c r="BI33" s="109"/>
    </row>
    <row r="34" spans="3:61" ht="15" customHeight="1" x14ac:dyDescent="0.25">
      <c r="C34" s="131" t="s">
        <v>167</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F34" s="133" t="s">
        <v>5</v>
      </c>
      <c r="AG34" s="135" t="s">
        <v>116</v>
      </c>
      <c r="AH34" s="136"/>
      <c r="AI34" s="136"/>
      <c r="AJ34" s="136"/>
      <c r="AK34" s="136"/>
      <c r="AL34" s="137"/>
      <c r="BD34" s="74"/>
      <c r="BE34" s="109"/>
      <c r="BF34" s="109"/>
      <c r="BG34" s="109"/>
      <c r="BH34" s="109"/>
      <c r="BI34" s="109"/>
    </row>
    <row r="35" spans="3:61" ht="15" customHeight="1" x14ac:dyDescent="0.25">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F35" s="134"/>
      <c r="AG35" s="138"/>
      <c r="AH35" s="139"/>
      <c r="AI35" s="139"/>
      <c r="AJ35" s="139"/>
      <c r="AK35" s="139"/>
      <c r="AL35" s="140"/>
      <c r="BD35" s="74"/>
      <c r="BE35" s="109"/>
      <c r="BF35" s="109"/>
      <c r="BG35" s="109"/>
      <c r="BH35" s="109"/>
      <c r="BI35" s="109"/>
    </row>
    <row r="36" spans="3:61" ht="9.9" customHeight="1" x14ac:dyDescent="0.25">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BD36" s="74"/>
      <c r="BE36" s="109"/>
      <c r="BF36" s="109"/>
      <c r="BG36" s="109"/>
      <c r="BH36" s="109"/>
      <c r="BI36" s="109"/>
    </row>
    <row r="37" spans="3:61" ht="15" customHeight="1" x14ac:dyDescent="0.25">
      <c r="C37" s="96" t="s">
        <v>11</v>
      </c>
      <c r="D37" s="98"/>
      <c r="E37" s="98"/>
      <c r="F37" s="98"/>
      <c r="G37" s="14" t="s">
        <v>5</v>
      </c>
      <c r="H37" s="99"/>
      <c r="I37" s="104"/>
      <c r="J37" s="104"/>
      <c r="K37" s="104"/>
      <c r="L37" s="104"/>
      <c r="M37" s="104"/>
      <c r="N37" s="104"/>
      <c r="O37" s="104"/>
      <c r="P37" s="104"/>
      <c r="Q37" s="104"/>
      <c r="R37" s="104"/>
      <c r="S37" s="104"/>
      <c r="T37" s="104"/>
      <c r="U37" s="104"/>
      <c r="V37" s="104"/>
      <c r="W37" s="105"/>
      <c r="BD37" s="74"/>
      <c r="BE37" s="109"/>
      <c r="BF37" s="109"/>
      <c r="BG37" s="109"/>
      <c r="BH37" s="109"/>
      <c r="BI37" s="109"/>
    </row>
    <row r="38" spans="3:61" ht="15" customHeight="1" x14ac:dyDescent="0.25">
      <c r="BD38" s="75"/>
      <c r="BE38" s="75"/>
      <c r="BF38" s="75"/>
      <c r="BG38" s="75"/>
      <c r="BH38" s="75"/>
      <c r="BI38" s="75"/>
    </row>
    <row r="39" spans="3:61" ht="15" customHeight="1" x14ac:dyDescent="0.25">
      <c r="C39" s="96" t="s">
        <v>12</v>
      </c>
      <c r="D39" s="98"/>
      <c r="E39" s="98"/>
      <c r="F39" s="98"/>
      <c r="G39" s="14" t="s">
        <v>5</v>
      </c>
      <c r="H39" s="107"/>
      <c r="I39" s="129"/>
      <c r="J39" s="129"/>
      <c r="K39" s="129"/>
      <c r="L39" s="129"/>
      <c r="M39" s="129"/>
      <c r="N39" s="129"/>
      <c r="O39" s="129"/>
      <c r="P39" s="129"/>
      <c r="Q39" s="129"/>
      <c r="R39" s="129"/>
      <c r="S39" s="130"/>
    </row>
    <row r="41" spans="3:61" x14ac:dyDescent="0.25">
      <c r="BC41" s="43">
        <f>O16</f>
        <v>0</v>
      </c>
      <c r="BD41" s="43">
        <f>O16</f>
        <v>0</v>
      </c>
      <c r="BE41" s="43">
        <f>O16</f>
        <v>0</v>
      </c>
      <c r="BF41" s="43">
        <f>O16</f>
        <v>0</v>
      </c>
      <c r="BG41" s="43">
        <f>O16</f>
        <v>0</v>
      </c>
      <c r="BH41" s="43">
        <f>O16</f>
        <v>0</v>
      </c>
    </row>
    <row r="42" spans="3:61" x14ac:dyDescent="0.25">
      <c r="BC42" s="43" t="b">
        <f t="shared" ref="BC42:BH42" si="0">ISNA(VLOOKUP(BC41,BC43:BC82,1,FALSE))</f>
        <v>1</v>
      </c>
      <c r="BD42" s="43" t="b">
        <f t="shared" si="0"/>
        <v>1</v>
      </c>
      <c r="BE42" s="43" t="b">
        <f t="shared" si="0"/>
        <v>1</v>
      </c>
      <c r="BF42" s="43" t="b">
        <f t="shared" si="0"/>
        <v>1</v>
      </c>
      <c r="BG42" s="43" t="b">
        <f t="shared" si="0"/>
        <v>1</v>
      </c>
      <c r="BH42" s="43" t="b">
        <f t="shared" si="0"/>
        <v>1</v>
      </c>
    </row>
    <row r="43" spans="3:61" x14ac:dyDescent="0.25">
      <c r="BC43" s="43">
        <v>57700</v>
      </c>
      <c r="BD43" s="43">
        <v>68900</v>
      </c>
      <c r="BE43" s="43">
        <v>79800</v>
      </c>
      <c r="BF43" s="43">
        <v>131400</v>
      </c>
      <c r="BG43" s="43">
        <v>144200</v>
      </c>
      <c r="BH43" s="43">
        <v>182200</v>
      </c>
    </row>
    <row r="44" spans="3:61" x14ac:dyDescent="0.25">
      <c r="BC44" s="43">
        <f t="shared" ref="BC44:BH44" si="1">MROUND(BC43*1.03,100)</f>
        <v>59400</v>
      </c>
      <c r="BD44" s="43">
        <f t="shared" si="1"/>
        <v>71000</v>
      </c>
      <c r="BE44" s="43">
        <f t="shared" si="1"/>
        <v>82200</v>
      </c>
      <c r="BF44" s="43">
        <f t="shared" si="1"/>
        <v>135300</v>
      </c>
      <c r="BG44" s="43">
        <f t="shared" si="1"/>
        <v>148500</v>
      </c>
      <c r="BH44" s="43">
        <f t="shared" si="1"/>
        <v>187700</v>
      </c>
    </row>
    <row r="45" spans="3:61" x14ac:dyDescent="0.25">
      <c r="BC45" s="43">
        <f t="shared" ref="BC45:BC82" si="2">MROUND(BC44*1.03,100)</f>
        <v>61200</v>
      </c>
      <c r="BD45" s="43">
        <f t="shared" ref="BD45:BD67" si="3">MROUND(BD44*1.03,100)</f>
        <v>73100</v>
      </c>
      <c r="BE45" s="43">
        <f t="shared" ref="BE45:BE76" si="4">MROUND(BE44*1.03,100)</f>
        <v>84700</v>
      </c>
      <c r="BF45" s="43">
        <f t="shared" ref="BF45:BF60" si="5">MROUND(BF44*1.03,100)</f>
        <v>139400</v>
      </c>
      <c r="BG45" s="43">
        <f t="shared" ref="BG45:BG57" si="6">MROUND(BG44*1.03,100)</f>
        <v>153000</v>
      </c>
      <c r="BH45" s="43">
        <f t="shared" ref="BH45:BH50" si="7">MROUND(BH44*1.03,100)</f>
        <v>193300</v>
      </c>
    </row>
    <row r="46" spans="3:61" x14ac:dyDescent="0.25">
      <c r="BC46" s="43">
        <f t="shared" si="2"/>
        <v>63000</v>
      </c>
      <c r="BD46" s="43">
        <f t="shared" si="3"/>
        <v>75300</v>
      </c>
      <c r="BE46" s="43">
        <f t="shared" si="4"/>
        <v>87200</v>
      </c>
      <c r="BF46" s="43">
        <f t="shared" si="5"/>
        <v>143600</v>
      </c>
      <c r="BG46" s="43">
        <f t="shared" si="6"/>
        <v>157600</v>
      </c>
      <c r="BH46" s="43">
        <f t="shared" si="7"/>
        <v>199100</v>
      </c>
    </row>
    <row r="47" spans="3:61" x14ac:dyDescent="0.25">
      <c r="BC47" s="43">
        <f t="shared" si="2"/>
        <v>64900</v>
      </c>
      <c r="BD47" s="43">
        <f t="shared" si="3"/>
        <v>77600</v>
      </c>
      <c r="BE47" s="43">
        <f t="shared" si="4"/>
        <v>89800</v>
      </c>
      <c r="BF47" s="43">
        <f t="shared" si="5"/>
        <v>147900</v>
      </c>
      <c r="BG47" s="43">
        <f t="shared" si="6"/>
        <v>162300</v>
      </c>
      <c r="BH47" s="43">
        <f t="shared" si="7"/>
        <v>205100</v>
      </c>
    </row>
    <row r="48" spans="3:61" x14ac:dyDescent="0.25">
      <c r="BC48" s="43">
        <f t="shared" si="2"/>
        <v>66800</v>
      </c>
      <c r="BD48" s="43">
        <f t="shared" si="3"/>
        <v>79900</v>
      </c>
      <c r="BE48" s="43">
        <f t="shared" si="4"/>
        <v>92500</v>
      </c>
      <c r="BF48" s="43">
        <f t="shared" si="5"/>
        <v>152300</v>
      </c>
      <c r="BG48" s="43">
        <f t="shared" si="6"/>
        <v>167200</v>
      </c>
      <c r="BH48" s="43">
        <f t="shared" si="7"/>
        <v>211300</v>
      </c>
    </row>
    <row r="49" spans="55:60" x14ac:dyDescent="0.25">
      <c r="BC49" s="43">
        <f t="shared" si="2"/>
        <v>68800</v>
      </c>
      <c r="BD49" s="43">
        <f t="shared" si="3"/>
        <v>82300</v>
      </c>
      <c r="BE49" s="43">
        <f t="shared" si="4"/>
        <v>95300</v>
      </c>
      <c r="BF49" s="43">
        <f t="shared" si="5"/>
        <v>156900</v>
      </c>
      <c r="BG49" s="43">
        <f t="shared" si="6"/>
        <v>172200</v>
      </c>
      <c r="BH49" s="43">
        <f t="shared" si="7"/>
        <v>217600</v>
      </c>
    </row>
    <row r="50" spans="55:60" x14ac:dyDescent="0.25">
      <c r="BC50" s="43">
        <f t="shared" si="2"/>
        <v>70900</v>
      </c>
      <c r="BD50" s="43">
        <f t="shared" si="3"/>
        <v>84800</v>
      </c>
      <c r="BE50" s="43">
        <f t="shared" si="4"/>
        <v>98200</v>
      </c>
      <c r="BF50" s="43">
        <f t="shared" si="5"/>
        <v>161600</v>
      </c>
      <c r="BG50" s="43">
        <f t="shared" si="6"/>
        <v>177400</v>
      </c>
      <c r="BH50" s="43">
        <f t="shared" si="7"/>
        <v>224100</v>
      </c>
    </row>
    <row r="51" spans="55:60" x14ac:dyDescent="0.25">
      <c r="BC51" s="43">
        <f t="shared" si="2"/>
        <v>73000</v>
      </c>
      <c r="BD51" s="43">
        <f t="shared" si="3"/>
        <v>87300</v>
      </c>
      <c r="BE51" s="43">
        <f t="shared" si="4"/>
        <v>101100</v>
      </c>
      <c r="BF51" s="43">
        <f t="shared" si="5"/>
        <v>166400</v>
      </c>
      <c r="BG51" s="43">
        <f t="shared" si="6"/>
        <v>182700</v>
      </c>
      <c r="BH51" s="43"/>
    </row>
    <row r="52" spans="55:60" x14ac:dyDescent="0.25">
      <c r="BC52" s="43">
        <f t="shared" si="2"/>
        <v>75200</v>
      </c>
      <c r="BD52" s="43">
        <f t="shared" si="3"/>
        <v>89900</v>
      </c>
      <c r="BE52" s="43">
        <f t="shared" si="4"/>
        <v>104100</v>
      </c>
      <c r="BF52" s="43">
        <f t="shared" si="5"/>
        <v>171400</v>
      </c>
      <c r="BG52" s="43">
        <f t="shared" si="6"/>
        <v>188200</v>
      </c>
      <c r="BH52" s="43"/>
    </row>
    <row r="53" spans="55:60" x14ac:dyDescent="0.25">
      <c r="BC53" s="43">
        <f t="shared" si="2"/>
        <v>77500</v>
      </c>
      <c r="BD53" s="43">
        <f t="shared" si="3"/>
        <v>92600</v>
      </c>
      <c r="BE53" s="43">
        <f t="shared" si="4"/>
        <v>107200</v>
      </c>
      <c r="BF53" s="43">
        <f t="shared" si="5"/>
        <v>176500</v>
      </c>
      <c r="BG53" s="43">
        <f t="shared" si="6"/>
        <v>193800</v>
      </c>
      <c r="BH53" s="43"/>
    </row>
    <row r="54" spans="55:60" x14ac:dyDescent="0.25">
      <c r="BC54" s="43">
        <f t="shared" si="2"/>
        <v>79800</v>
      </c>
      <c r="BD54" s="43">
        <f t="shared" si="3"/>
        <v>95400</v>
      </c>
      <c r="BE54" s="43">
        <f t="shared" si="4"/>
        <v>110400</v>
      </c>
      <c r="BF54" s="43">
        <f t="shared" si="5"/>
        <v>181800</v>
      </c>
      <c r="BG54" s="43">
        <f t="shared" si="6"/>
        <v>199600</v>
      </c>
      <c r="BH54" s="43"/>
    </row>
    <row r="55" spans="55:60" x14ac:dyDescent="0.25">
      <c r="BC55" s="43">
        <f t="shared" si="2"/>
        <v>82200</v>
      </c>
      <c r="BD55" s="43">
        <f t="shared" si="3"/>
        <v>98300</v>
      </c>
      <c r="BE55" s="43">
        <f t="shared" si="4"/>
        <v>113700</v>
      </c>
      <c r="BF55" s="43">
        <f t="shared" si="5"/>
        <v>187300</v>
      </c>
      <c r="BG55" s="43">
        <f t="shared" si="6"/>
        <v>205600</v>
      </c>
      <c r="BH55" s="43"/>
    </row>
    <row r="56" spans="55:60" x14ac:dyDescent="0.25">
      <c r="BC56" s="43">
        <f t="shared" si="2"/>
        <v>84700</v>
      </c>
      <c r="BD56" s="43">
        <f t="shared" si="3"/>
        <v>101200</v>
      </c>
      <c r="BE56" s="43">
        <f t="shared" si="4"/>
        <v>117100</v>
      </c>
      <c r="BF56" s="43">
        <f t="shared" si="5"/>
        <v>192900</v>
      </c>
      <c r="BG56" s="43">
        <f t="shared" si="6"/>
        <v>211800</v>
      </c>
      <c r="BH56" s="43"/>
    </row>
    <row r="57" spans="55:60" x14ac:dyDescent="0.25">
      <c r="BC57" s="43">
        <f t="shared" si="2"/>
        <v>87200</v>
      </c>
      <c r="BD57" s="43">
        <f t="shared" si="3"/>
        <v>104200</v>
      </c>
      <c r="BE57" s="43">
        <f t="shared" si="4"/>
        <v>120600</v>
      </c>
      <c r="BF57" s="43">
        <f t="shared" si="5"/>
        <v>198700</v>
      </c>
      <c r="BG57" s="43">
        <f t="shared" si="6"/>
        <v>218200</v>
      </c>
      <c r="BH57" s="43"/>
    </row>
    <row r="58" spans="55:60" x14ac:dyDescent="0.25">
      <c r="BC58" s="43">
        <f t="shared" si="2"/>
        <v>89800</v>
      </c>
      <c r="BD58" s="43">
        <f t="shared" si="3"/>
        <v>107300</v>
      </c>
      <c r="BE58" s="43">
        <f t="shared" si="4"/>
        <v>124200</v>
      </c>
      <c r="BF58" s="43">
        <f t="shared" si="5"/>
        <v>204700</v>
      </c>
      <c r="BG58" s="43"/>
      <c r="BH58" s="43"/>
    </row>
    <row r="59" spans="55:60" x14ac:dyDescent="0.25">
      <c r="BC59" s="43">
        <f t="shared" si="2"/>
        <v>92500</v>
      </c>
      <c r="BD59" s="43">
        <f t="shared" si="3"/>
        <v>110500</v>
      </c>
      <c r="BE59" s="43">
        <f t="shared" si="4"/>
        <v>127900</v>
      </c>
      <c r="BF59" s="43">
        <f t="shared" si="5"/>
        <v>210800</v>
      </c>
      <c r="BG59" s="43"/>
      <c r="BH59" s="43"/>
    </row>
    <row r="60" spans="55:60" x14ac:dyDescent="0.25">
      <c r="BC60" s="43">
        <f t="shared" si="2"/>
        <v>95300</v>
      </c>
      <c r="BD60" s="43">
        <f t="shared" si="3"/>
        <v>113800</v>
      </c>
      <c r="BE60" s="43">
        <f t="shared" si="4"/>
        <v>131700</v>
      </c>
      <c r="BF60" s="43">
        <f t="shared" si="5"/>
        <v>217100</v>
      </c>
      <c r="BG60" s="43"/>
      <c r="BH60" s="43"/>
    </row>
    <row r="61" spans="55:60" x14ac:dyDescent="0.25">
      <c r="BC61" s="43">
        <f t="shared" si="2"/>
        <v>98200</v>
      </c>
      <c r="BD61" s="43">
        <f t="shared" si="3"/>
        <v>117200</v>
      </c>
      <c r="BE61" s="43">
        <f t="shared" si="4"/>
        <v>135700</v>
      </c>
      <c r="BF61" s="43"/>
      <c r="BG61" s="43"/>
      <c r="BH61" s="43"/>
    </row>
    <row r="62" spans="55:60" x14ac:dyDescent="0.25">
      <c r="BC62" s="43">
        <f t="shared" si="2"/>
        <v>101100</v>
      </c>
      <c r="BD62" s="43">
        <f t="shared" si="3"/>
        <v>120700</v>
      </c>
      <c r="BE62" s="43">
        <f t="shared" si="4"/>
        <v>139800</v>
      </c>
      <c r="BF62" s="43"/>
      <c r="BG62" s="43"/>
      <c r="BH62" s="43"/>
    </row>
    <row r="63" spans="55:60" x14ac:dyDescent="0.25">
      <c r="BC63" s="43">
        <f t="shared" si="2"/>
        <v>104100</v>
      </c>
      <c r="BD63" s="43">
        <f t="shared" si="3"/>
        <v>124300</v>
      </c>
      <c r="BE63" s="43">
        <f t="shared" si="4"/>
        <v>144000</v>
      </c>
      <c r="BF63" s="43"/>
      <c r="BG63" s="43"/>
      <c r="BH63" s="43"/>
    </row>
    <row r="64" spans="55:60" x14ac:dyDescent="0.25">
      <c r="BC64" s="43">
        <f t="shared" si="2"/>
        <v>107200</v>
      </c>
      <c r="BD64" s="43">
        <f t="shared" si="3"/>
        <v>128000</v>
      </c>
      <c r="BE64" s="43">
        <f t="shared" si="4"/>
        <v>148300</v>
      </c>
      <c r="BF64" s="43"/>
      <c r="BG64" s="43"/>
      <c r="BH64" s="43"/>
    </row>
    <row r="65" spans="55:60" x14ac:dyDescent="0.25">
      <c r="BC65" s="43">
        <f t="shared" si="2"/>
        <v>110400</v>
      </c>
      <c r="BD65" s="43">
        <f t="shared" si="3"/>
        <v>131800</v>
      </c>
      <c r="BE65" s="43">
        <f t="shared" si="4"/>
        <v>152700</v>
      </c>
      <c r="BF65" s="43"/>
      <c r="BG65" s="43"/>
      <c r="BH65" s="43"/>
    </row>
    <row r="66" spans="55:60" x14ac:dyDescent="0.25">
      <c r="BC66" s="43">
        <f t="shared" si="2"/>
        <v>113700</v>
      </c>
      <c r="BD66" s="43">
        <f t="shared" si="3"/>
        <v>135800</v>
      </c>
      <c r="BE66" s="43">
        <f t="shared" si="4"/>
        <v>157300</v>
      </c>
      <c r="BF66" s="43"/>
      <c r="BG66" s="43"/>
      <c r="BH66" s="43"/>
    </row>
    <row r="67" spans="55:60" x14ac:dyDescent="0.25">
      <c r="BC67" s="43">
        <f t="shared" si="2"/>
        <v>117100</v>
      </c>
      <c r="BD67" s="43">
        <f t="shared" si="3"/>
        <v>139900</v>
      </c>
      <c r="BE67" s="43">
        <f t="shared" si="4"/>
        <v>162000</v>
      </c>
      <c r="BF67" s="43"/>
      <c r="BG67" s="43"/>
      <c r="BH67" s="43"/>
    </row>
    <row r="68" spans="55:60" x14ac:dyDescent="0.25">
      <c r="BC68" s="43">
        <f t="shared" si="2"/>
        <v>120600</v>
      </c>
      <c r="BD68" s="43">
        <f>MROUND(BD67*1.03,100)</f>
        <v>144100</v>
      </c>
      <c r="BE68" s="43">
        <f t="shared" si="4"/>
        <v>166900</v>
      </c>
      <c r="BF68" s="43"/>
      <c r="BG68" s="43"/>
      <c r="BH68" s="43"/>
    </row>
    <row r="69" spans="55:60" x14ac:dyDescent="0.25">
      <c r="BC69" s="43">
        <f t="shared" si="2"/>
        <v>124200</v>
      </c>
      <c r="BD69" s="43">
        <f t="shared" ref="BD69:BD80" si="8">MROUND(BD68*1.03,100)</f>
        <v>148400</v>
      </c>
      <c r="BE69" s="43">
        <f t="shared" si="4"/>
        <v>171900</v>
      </c>
      <c r="BF69" s="43"/>
      <c r="BG69" s="43"/>
      <c r="BH69" s="43"/>
    </row>
    <row r="70" spans="55:60" x14ac:dyDescent="0.25">
      <c r="BC70" s="43">
        <f t="shared" si="2"/>
        <v>127900</v>
      </c>
      <c r="BD70" s="43">
        <f t="shared" si="8"/>
        <v>152900</v>
      </c>
      <c r="BE70" s="43">
        <f t="shared" si="4"/>
        <v>177100</v>
      </c>
      <c r="BF70" s="43"/>
      <c r="BG70" s="43"/>
      <c r="BH70" s="43"/>
    </row>
    <row r="71" spans="55:60" x14ac:dyDescent="0.25">
      <c r="BC71" s="43">
        <f t="shared" si="2"/>
        <v>131700</v>
      </c>
      <c r="BD71" s="43">
        <f t="shared" si="8"/>
        <v>157500</v>
      </c>
      <c r="BE71" s="43">
        <f t="shared" si="4"/>
        <v>182400</v>
      </c>
      <c r="BF71" s="43"/>
      <c r="BG71" s="43"/>
      <c r="BH71" s="43"/>
    </row>
    <row r="72" spans="55:60" x14ac:dyDescent="0.25">
      <c r="BC72" s="43">
        <f t="shared" si="2"/>
        <v>135700</v>
      </c>
      <c r="BD72" s="43">
        <f t="shared" si="8"/>
        <v>162200</v>
      </c>
      <c r="BE72" s="43">
        <f t="shared" si="4"/>
        <v>187900</v>
      </c>
      <c r="BF72" s="43"/>
      <c r="BG72" s="43"/>
      <c r="BH72" s="43"/>
    </row>
    <row r="73" spans="55:60" x14ac:dyDescent="0.25">
      <c r="BC73" s="43">
        <f t="shared" si="2"/>
        <v>139800</v>
      </c>
      <c r="BD73" s="43">
        <f t="shared" si="8"/>
        <v>167100</v>
      </c>
      <c r="BE73" s="43">
        <f t="shared" si="4"/>
        <v>193500</v>
      </c>
      <c r="BF73" s="43"/>
      <c r="BG73" s="43"/>
      <c r="BH73" s="43"/>
    </row>
    <row r="74" spans="55:60" x14ac:dyDescent="0.25">
      <c r="BC74" s="43">
        <f t="shared" si="2"/>
        <v>144000</v>
      </c>
      <c r="BD74" s="43">
        <f t="shared" si="8"/>
        <v>172100</v>
      </c>
      <c r="BE74" s="43">
        <f t="shared" si="4"/>
        <v>199300</v>
      </c>
      <c r="BF74" s="43"/>
      <c r="BG74" s="43"/>
      <c r="BH74" s="43"/>
    </row>
    <row r="75" spans="55:60" x14ac:dyDescent="0.25">
      <c r="BC75" s="43">
        <f t="shared" si="2"/>
        <v>148300</v>
      </c>
      <c r="BD75" s="43">
        <f t="shared" si="8"/>
        <v>177300</v>
      </c>
      <c r="BE75" s="43">
        <f t="shared" si="4"/>
        <v>205300</v>
      </c>
      <c r="BF75" s="43"/>
      <c r="BG75" s="43"/>
      <c r="BH75" s="43"/>
    </row>
    <row r="76" spans="55:60" x14ac:dyDescent="0.25">
      <c r="BC76" s="43">
        <f t="shared" si="2"/>
        <v>152700</v>
      </c>
      <c r="BD76" s="43">
        <f t="shared" si="8"/>
        <v>182600</v>
      </c>
      <c r="BE76" s="43">
        <f t="shared" si="4"/>
        <v>211500</v>
      </c>
      <c r="BF76" s="43"/>
      <c r="BG76" s="43"/>
      <c r="BH76" s="43"/>
    </row>
    <row r="77" spans="55:60" x14ac:dyDescent="0.25">
      <c r="BC77" s="43">
        <f t="shared" si="2"/>
        <v>157300</v>
      </c>
      <c r="BD77" s="43">
        <f t="shared" si="8"/>
        <v>188100</v>
      </c>
      <c r="BE77" s="43"/>
      <c r="BF77" s="43"/>
      <c r="BG77" s="43"/>
      <c r="BH77" s="43"/>
    </row>
    <row r="78" spans="55:60" x14ac:dyDescent="0.25">
      <c r="BC78" s="43">
        <f t="shared" si="2"/>
        <v>162000</v>
      </c>
      <c r="BD78" s="43">
        <f t="shared" si="8"/>
        <v>193700</v>
      </c>
      <c r="BE78" s="43"/>
      <c r="BF78" s="43"/>
      <c r="BG78" s="43"/>
      <c r="BH78" s="43"/>
    </row>
    <row r="79" spans="55:60" x14ac:dyDescent="0.25">
      <c r="BC79" s="43">
        <f t="shared" si="2"/>
        <v>166900</v>
      </c>
      <c r="BD79" s="43">
        <f t="shared" si="8"/>
        <v>199500</v>
      </c>
      <c r="BE79" s="43"/>
      <c r="BF79" s="43"/>
      <c r="BG79" s="43"/>
      <c r="BH79" s="43"/>
    </row>
    <row r="80" spans="55:60" x14ac:dyDescent="0.25">
      <c r="BC80" s="43">
        <f t="shared" si="2"/>
        <v>171900</v>
      </c>
      <c r="BD80" s="43">
        <f t="shared" si="8"/>
        <v>205500</v>
      </c>
      <c r="BE80" s="43"/>
      <c r="BF80" s="43"/>
      <c r="BG80" s="43"/>
      <c r="BH80" s="43"/>
    </row>
    <row r="81" spans="55:60" x14ac:dyDescent="0.25">
      <c r="BC81" s="43">
        <f t="shared" si="2"/>
        <v>177100</v>
      </c>
      <c r="BD81" s="43"/>
      <c r="BE81" s="43"/>
      <c r="BF81" s="43"/>
      <c r="BG81" s="43"/>
      <c r="BH81" s="43"/>
    </row>
    <row r="82" spans="55:60" x14ac:dyDescent="0.25">
      <c r="BC82" s="43">
        <f t="shared" si="2"/>
        <v>182400</v>
      </c>
      <c r="BD82" s="43"/>
      <c r="BE82" s="43"/>
      <c r="BF82" s="43"/>
      <c r="BG82" s="43"/>
      <c r="BH82" s="43"/>
    </row>
  </sheetData>
  <sheetProtection algorithmName="SHA-512" hashValue="8IsJJyNi2AdAkgKLU/VVeCddLvpDb5zK5HBRksxb3/8J6gZ73qnKN3g/HEhzYGAoA2hIZVLGUleoE92hsjbe3g==" saltValue="5q9LC9a9MKoCXj7/pYvQJA==" spinCount="100000" sheet="1" objects="1" scenarios="1" selectLockedCells="1"/>
  <mergeCells count="55">
    <mergeCell ref="C34:AD35"/>
    <mergeCell ref="AF34:AF35"/>
    <mergeCell ref="AG34:AL35"/>
    <mergeCell ref="C31:AD32"/>
    <mergeCell ref="AF31:AF32"/>
    <mergeCell ref="AG31:AL32"/>
    <mergeCell ref="AT20:AX20"/>
    <mergeCell ref="C39:F39"/>
    <mergeCell ref="H39:S39"/>
    <mergeCell ref="C22:AD23"/>
    <mergeCell ref="AF22:AF23"/>
    <mergeCell ref="X20:Z20"/>
    <mergeCell ref="AB20:AE20"/>
    <mergeCell ref="H37:W37"/>
    <mergeCell ref="C25:AD26"/>
    <mergeCell ref="AG25:AL26"/>
    <mergeCell ref="AF25:AF26"/>
    <mergeCell ref="C37:F37"/>
    <mergeCell ref="AG22:AL23"/>
    <mergeCell ref="C28:AD29"/>
    <mergeCell ref="AF28:AF29"/>
    <mergeCell ref="AG28:AL29"/>
    <mergeCell ref="AG20:AI20"/>
    <mergeCell ref="AK20:AN20"/>
    <mergeCell ref="AP20:AR20"/>
    <mergeCell ref="L14:AK14"/>
    <mergeCell ref="C16:M16"/>
    <mergeCell ref="O16:AD16"/>
    <mergeCell ref="C18:AB18"/>
    <mergeCell ref="C20:E20"/>
    <mergeCell ref="G20:K20"/>
    <mergeCell ref="M20:Q20"/>
    <mergeCell ref="S20:V20"/>
    <mergeCell ref="C14:J14"/>
    <mergeCell ref="BE23:BI37"/>
    <mergeCell ref="BD10:BJ11"/>
    <mergeCell ref="BD12:BJ13"/>
    <mergeCell ref="BE17:BI22"/>
    <mergeCell ref="BE14:BI15"/>
    <mergeCell ref="BD8:BJ9"/>
    <mergeCell ref="BD2:BJ7"/>
    <mergeCell ref="C12:O12"/>
    <mergeCell ref="Q12:Z12"/>
    <mergeCell ref="C6:J6"/>
    <mergeCell ref="C3:K3"/>
    <mergeCell ref="M3:AS3"/>
    <mergeCell ref="L8:AB8"/>
    <mergeCell ref="L6:AB6"/>
    <mergeCell ref="C8:J8"/>
    <mergeCell ref="AD6:AI6"/>
    <mergeCell ref="AK6:AZ6"/>
    <mergeCell ref="AD12:AL12"/>
    <mergeCell ref="C10:J10"/>
    <mergeCell ref="L10:AB10"/>
    <mergeCell ref="AN12:AZ12"/>
  </mergeCells>
  <dataValidations count="17">
    <dataValidation type="list" allowBlank="1" showInputMessage="1" showErrorMessage="1" errorTitle="Annual Increment Month" error="Please select your Annual Increment Month." promptTitle="Annual Increment Month" prompt="Please select your Annual Increment Month." sqref="Q12:Z12" xr:uid="{A206D2E2-C9F2-4A59-8E15-25B409E4ABE8}">
      <formula1>"January, July"</formula1>
    </dataValidation>
    <dataValidation type="list" allowBlank="1" showInputMessage="1" showErrorMessage="1" errorTitle="Pension Scheme" error="Please select your Pension Scheme." promptTitle="Pension Scheme" prompt="Please select your Pension Scheme." sqref="AN12:AZ12"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errorTitle="Designation" error="Please select your Designation." promptTitle="Designation" prompt="Please select your Designation." sqref="L10:AB10" xr:uid="{9ED4F42E-73BB-4236-B181-0E93A46C3D6B}">
      <formula1>$BK$7:$BK$17</formula1>
    </dataValidation>
    <dataValidation type="whole" operator="greaterThan" allowBlank="1" showInputMessage="1" showErrorMessage="1" errorTitle="Basic Pay" error="Please enter a valid amount." promptTitle="Basic Pay" prompt="Please enter your Basic Pay in March." sqref="O16:AD16" xr:uid="{1BB3CEF5-3273-45DB-81D8-774F3DEEEE87}">
      <formula1>1</formula1>
    </dataValidation>
    <dataValidation type="list" allowBlank="1" showInputMessage="1" showErrorMessage="1" promptTitle="Office Location" prompt="Please select your Office Location classification." sqref="L14:AK14" xr:uid="{D281F550-C883-44B0-941B-8D2E9D200E14}">
      <formula1>"Class A - Corporation limits, Class B - Municipalities at District Headquarters, Class C - Municipalities,Class D - Panchayaths"</formula1>
    </dataValidation>
    <dataValidation allowBlank="1" showInputMessage="1" showErrorMessage="1" promptTitle="Date" prompt="Please enter the Date in DD/MM/YYYY format." sqref="H39:S39" xr:uid="{4A52067B-C819-41B7-AFC0-7BF21A7DE386}"/>
    <dataValidation type="list" allowBlank="1" showInputMessage="1" showErrorMessage="1" sqref="AG22:AL26 AG28:AL29 AG31:AL35" xr:uid="{87466B84-DE06-447B-B8E1-0080D029792D}">
      <formula1>"No,Yes"</formula1>
    </dataValidation>
    <dataValidation allowBlank="1" showInputMessage="1" showErrorMessage="1" promptTitle="Name" prompt="Please enter the Name of your College" sqref="M3:AS3" xr:uid="{ADD0BE58-AE36-4528-9632-1F62666FB25B}"/>
    <dataValidation type="whole" operator="greaterThanOrEqual" allowBlank="1" showInputMessage="1" showErrorMessage="1" errorTitle="LIC" error="Please enter a valid amount." promptTitle="LIC" prompt="Please enter the monthly deduction amount for LIC." sqref="G20:K20" xr:uid="{1A5B7377-8262-4BF8-99E8-D2869BD30035}">
      <formula1>0</formula1>
    </dataValidation>
    <dataValidation type="whole" operator="greaterThanOrEqual" allowBlank="1" showInputMessage="1" showErrorMessage="1" errorTitle="MediSep" error="Please enter a valid amount." promptTitle="MediSep" prompt="Please enter the monthly deduction amount for MediSep." sqref="S20:V20" xr:uid="{A4EB9002-2D86-415D-AD97-8B187DFE5E0C}">
      <formula1>0</formula1>
    </dataValidation>
    <dataValidation type="whole" operator="greaterThanOrEqual" allowBlank="1" showInputMessage="1" showErrorMessage="1" errorTitle="SLI" error="Please enter a valid amount." promptTitle="SLI" prompt="Please enter the monthly deduction amount for SLI." sqref="AB20:AE20" xr:uid="{9DFCE782-E521-41F9-8FB2-55E2B506C652}">
      <formula1>0</formula1>
    </dataValidation>
    <dataValidation type="whole" operator="greaterThanOrEqual" allowBlank="1" showInputMessage="1" showErrorMessage="1" errorTitle="GIS" error="Please enter a valid amount." promptTitle="GIS" prompt="Please enter the monthly deduction amount for GIS." sqref="AK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Place" prompt="Please enter your Place." sqref="H37:W37" xr:uid="{D4E7BF7D-F448-41C8-A211-AE6073B944F6}"/>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V26" sqref="V26:AE26"/>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311" t="str">
        <f>IF(ISBLANK('Basic Information'!M3),"",UPPER('Basic Information'!M3))</f>
        <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3"/>
      <c r="BG1" s="313"/>
      <c r="BH1" s="313"/>
      <c r="BI1" s="313"/>
      <c r="BJ1" s="314"/>
    </row>
    <row r="2" spans="2:74" ht="18.600000000000001" customHeight="1" x14ac:dyDescent="0.25">
      <c r="B2" s="315" t="s">
        <v>162</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7"/>
      <c r="BG2" s="317"/>
      <c r="BH2" s="317"/>
      <c r="BI2" s="317"/>
      <c r="BJ2" s="318"/>
      <c r="BQ2" s="232" t="s">
        <v>164</v>
      </c>
      <c r="BR2" s="233"/>
      <c r="BS2" s="233"/>
      <c r="BT2" s="233"/>
      <c r="BU2" s="233"/>
    </row>
    <row r="3" spans="2:74" ht="18.600000000000001" customHeight="1" x14ac:dyDescent="0.25">
      <c r="B3" s="319" t="s">
        <v>168</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17"/>
      <c r="BG3" s="317"/>
      <c r="BH3" s="317"/>
      <c r="BI3" s="317"/>
      <c r="BJ3" s="318"/>
      <c r="BQ3" s="233"/>
      <c r="BR3" s="233"/>
      <c r="BS3" s="233"/>
      <c r="BT3" s="233"/>
      <c r="BU3" s="233"/>
    </row>
    <row r="4" spans="2:74" ht="3.9" customHeight="1" x14ac:dyDescent="0.35">
      <c r="B4" s="20"/>
      <c r="BJ4" s="26"/>
      <c r="BQ4" s="245" t="s">
        <v>20</v>
      </c>
      <c r="BR4" s="246"/>
      <c r="BS4" s="246"/>
      <c r="BT4" s="246"/>
      <c r="BU4" s="246"/>
      <c r="BV4" s="48"/>
    </row>
    <row r="5" spans="2:74" ht="15.6" x14ac:dyDescent="0.35">
      <c r="B5" s="261" t="s">
        <v>13</v>
      </c>
      <c r="C5" s="96"/>
      <c r="D5" s="96"/>
      <c r="E5" s="96"/>
      <c r="F5" s="96"/>
      <c r="G5" s="96"/>
      <c r="H5" s="96"/>
      <c r="I5" s="96"/>
      <c r="J5" s="96"/>
      <c r="K5" s="27" t="s">
        <v>5</v>
      </c>
      <c r="L5" s="258" t="str">
        <f>IF(ISBLANK('Basic Information'!L6)," ",PROPER('Basic Information'!L6))</f>
        <v xml:space="preserve"> </v>
      </c>
      <c r="M5" s="264"/>
      <c r="N5" s="264"/>
      <c r="O5" s="264"/>
      <c r="P5" s="264"/>
      <c r="Q5" s="264"/>
      <c r="R5" s="264"/>
      <c r="S5" s="264"/>
      <c r="T5" s="264"/>
      <c r="U5" s="264"/>
      <c r="V5" s="264"/>
      <c r="W5" s="264"/>
      <c r="X5" s="264"/>
      <c r="Y5" s="264"/>
      <c r="Z5" s="264"/>
      <c r="AA5" s="264"/>
      <c r="AB5" s="264"/>
      <c r="AC5" s="264"/>
      <c r="AD5" s="264"/>
      <c r="AE5" s="265"/>
      <c r="AF5" s="29"/>
      <c r="AG5" s="96" t="s">
        <v>105</v>
      </c>
      <c r="AH5" s="96"/>
      <c r="AI5" s="96"/>
      <c r="AJ5" s="96"/>
      <c r="AK5" s="96"/>
      <c r="AL5" s="96"/>
      <c r="AM5" s="27" t="s">
        <v>5</v>
      </c>
      <c r="AN5" s="258" t="str">
        <f>IF(ISBLANK('Basic Information'!AK6)," ",UPPER('Basic Information'!AK6))</f>
        <v xml:space="preserve"> </v>
      </c>
      <c r="AO5" s="259"/>
      <c r="AP5" s="259"/>
      <c r="AQ5" s="259"/>
      <c r="AR5" s="259"/>
      <c r="AS5" s="259"/>
      <c r="AT5" s="259"/>
      <c r="AU5" s="259"/>
      <c r="AV5" s="259"/>
      <c r="AW5" s="259"/>
      <c r="AX5" s="259"/>
      <c r="AY5" s="259"/>
      <c r="AZ5" s="259"/>
      <c r="BA5" s="259"/>
      <c r="BB5" s="259"/>
      <c r="BC5" s="259"/>
      <c r="BD5" s="259"/>
      <c r="BE5" s="260"/>
      <c r="BJ5" s="26"/>
      <c r="BQ5" s="246"/>
      <c r="BR5" s="246"/>
      <c r="BS5" s="246"/>
      <c r="BT5" s="246"/>
      <c r="BU5" s="246"/>
      <c r="BV5" s="48"/>
    </row>
    <row r="6" spans="2:74" ht="3.9" customHeight="1" x14ac:dyDescent="0.35">
      <c r="B6" s="20"/>
      <c r="BJ6" s="26"/>
      <c r="BQ6" s="48"/>
      <c r="BR6" s="323" t="s">
        <v>125</v>
      </c>
      <c r="BS6" s="324"/>
      <c r="BT6" s="324"/>
      <c r="BU6" s="324"/>
      <c r="BV6" s="48"/>
    </row>
    <row r="7" spans="2:74" ht="15.6" x14ac:dyDescent="0.35">
      <c r="B7" s="262" t="s">
        <v>15</v>
      </c>
      <c r="C7" s="263"/>
      <c r="D7" s="263"/>
      <c r="E7" s="263"/>
      <c r="F7" s="263"/>
      <c r="G7" s="263"/>
      <c r="H7" s="263"/>
      <c r="I7" s="263"/>
      <c r="J7" s="263"/>
      <c r="K7" s="86" t="s">
        <v>5</v>
      </c>
      <c r="L7" s="258" t="str">
        <f>IF(ISBLANK('Basic Information'!L10)," ",PROPER('Basic Information'!L10))</f>
        <v xml:space="preserve"> </v>
      </c>
      <c r="M7" s="259"/>
      <c r="N7" s="259"/>
      <c r="O7" s="259"/>
      <c r="P7" s="259"/>
      <c r="Q7" s="259"/>
      <c r="R7" s="259"/>
      <c r="S7" s="259"/>
      <c r="T7" s="259"/>
      <c r="U7" s="259"/>
      <c r="V7" s="259"/>
      <c r="W7" s="259"/>
      <c r="X7" s="259"/>
      <c r="Y7" s="259"/>
      <c r="Z7" s="259"/>
      <c r="AA7" s="259"/>
      <c r="AB7" s="259"/>
      <c r="AC7" s="259"/>
      <c r="AD7" s="259"/>
      <c r="AE7" s="260"/>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4"/>
      <c r="BS7" s="324"/>
      <c r="BT7" s="324"/>
      <c r="BU7" s="324"/>
      <c r="BV7" s="48"/>
    </row>
    <row r="8" spans="2:74" ht="5.0999999999999996" customHeight="1" x14ac:dyDescent="0.35">
      <c r="BP8" s="43">
        <f>IF(AND(ISNUMBER('Basic Information'!O16),'Basic Information'!AF17="Yes"),'Basic Information'!O16,0)</f>
        <v>0</v>
      </c>
      <c r="BQ8" s="245" t="s">
        <v>21</v>
      </c>
      <c r="BR8" s="325"/>
      <c r="BS8" s="325"/>
      <c r="BT8" s="325"/>
      <c r="BU8" s="325"/>
      <c r="BV8" s="48"/>
    </row>
    <row r="9" spans="2:74" ht="15" customHeight="1" x14ac:dyDescent="0.35">
      <c r="B9" s="252" t="s">
        <v>236</v>
      </c>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f>IF(ISTEXT('Basic Information'!L14),IF('Basic Information'!L14="Class A - Corporation limits",10,IF('Basic Information'!L14="Class B - Municipalities at District Headquarters",8,IF('Basic Information'!L14="Class C - Municipalities",6,IF('Basic Information'!L14="Class D - Panchayaths",4,0)))),0)</f>
        <v>0</v>
      </c>
      <c r="BQ9" s="325"/>
      <c r="BR9" s="325"/>
      <c r="BS9" s="325"/>
      <c r="BT9" s="325"/>
      <c r="BU9" s="325"/>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326" t="s">
        <v>124</v>
      </c>
      <c r="BR10" s="327"/>
      <c r="BS10" s="327"/>
      <c r="BT10" s="327"/>
      <c r="BU10" s="327"/>
      <c r="BV10" s="327"/>
    </row>
    <row r="11" spans="2:74" ht="15" customHeight="1" x14ac:dyDescent="0.25">
      <c r="B11" s="266" t="s">
        <v>0</v>
      </c>
      <c r="C11" s="183"/>
      <c r="D11" s="183"/>
      <c r="E11" s="183"/>
      <c r="F11" s="183"/>
      <c r="G11" s="183"/>
      <c r="H11" s="183"/>
      <c r="I11" s="183"/>
      <c r="J11" s="183"/>
      <c r="K11" s="270" t="s">
        <v>1</v>
      </c>
      <c r="L11" s="273"/>
      <c r="M11" s="273"/>
      <c r="N11" s="273"/>
      <c r="O11" s="273"/>
      <c r="P11" s="273"/>
      <c r="Q11" s="270" t="s">
        <v>2</v>
      </c>
      <c r="R11" s="273" t="s">
        <v>2</v>
      </c>
      <c r="S11" s="273"/>
      <c r="T11" s="273"/>
      <c r="U11" s="273"/>
      <c r="V11" s="273"/>
      <c r="W11" s="270" t="s">
        <v>3</v>
      </c>
      <c r="X11" s="273"/>
      <c r="Y11" s="273" t="s">
        <v>3</v>
      </c>
      <c r="Z11" s="273"/>
      <c r="AA11" s="273"/>
      <c r="AB11" s="273"/>
      <c r="AC11" s="270" t="s">
        <v>4</v>
      </c>
      <c r="AD11" s="271"/>
      <c r="AE11" s="271"/>
      <c r="AF11" s="271"/>
      <c r="AG11" s="271"/>
      <c r="AH11" s="271"/>
      <c r="AI11" s="272"/>
      <c r="AJ11" s="270" t="s">
        <v>16</v>
      </c>
      <c r="AK11" s="273"/>
      <c r="AL11" s="273"/>
      <c r="AM11" s="273" t="s">
        <v>16</v>
      </c>
      <c r="AN11" s="273"/>
      <c r="AO11" s="273"/>
      <c r="AP11" s="267" t="s">
        <v>149</v>
      </c>
      <c r="AQ11" s="268"/>
      <c r="AR11" s="268"/>
      <c r="AS11" s="268"/>
      <c r="AT11" s="269"/>
      <c r="AU11" s="270" t="s">
        <v>17</v>
      </c>
      <c r="AV11" s="271"/>
      <c r="AW11" s="271"/>
      <c r="AX11" s="271"/>
      <c r="AY11" s="272" t="s">
        <v>18</v>
      </c>
      <c r="AZ11" s="270" t="s">
        <v>18</v>
      </c>
      <c r="BA11" s="271"/>
      <c r="BB11" s="271"/>
      <c r="BC11" s="271"/>
      <c r="BD11" s="272" t="s">
        <v>82</v>
      </c>
      <c r="BE11" s="270" t="s">
        <v>82</v>
      </c>
      <c r="BF11" s="273"/>
      <c r="BG11" s="273"/>
      <c r="BH11" s="273"/>
      <c r="BI11" s="273"/>
      <c r="BJ11" s="274"/>
      <c r="BQ11" s="327"/>
      <c r="BR11" s="327"/>
      <c r="BS11" s="327"/>
      <c r="BT11" s="327"/>
      <c r="BU11" s="327"/>
      <c r="BV11" s="327"/>
    </row>
    <row r="12" spans="2:74" ht="15" customHeight="1" x14ac:dyDescent="0.25">
      <c r="B12" s="173" t="s">
        <v>28</v>
      </c>
      <c r="C12" s="174"/>
      <c r="D12" s="174"/>
      <c r="E12" s="174"/>
      <c r="F12" s="174"/>
      <c r="G12" s="174"/>
      <c r="H12" s="175">
        <v>2025</v>
      </c>
      <c r="I12" s="175"/>
      <c r="J12" s="176"/>
      <c r="K12" s="157">
        <f>IF(BP8&lt;&gt;0,IF(BP7=10,IF(BP8&gt;=182400,182400,BP8),IF(BP7=11,IF(BP8&gt;=205500,205500,BP8),IF(BP7=12,IF(BP8&gt;=211500,211500,BP8),IF(BP7=13,IF(BP8&gt;=217100,217100,BP8),IF(OR(BP7=14,BP7=16),IF(BP8&gt;=218200,218200,BP8),IF(BP7=15,IF(BP8&gt;=224100,224100, BP8),0)))))),)</f>
        <v>0</v>
      </c>
      <c r="L12" s="158"/>
      <c r="M12" s="158"/>
      <c r="N12" s="158"/>
      <c r="O12" s="158"/>
      <c r="P12" s="159"/>
      <c r="Q12" s="157">
        <f>IF(ISNUMBER(K12),ROUND((K12)*0.34,0),0)</f>
        <v>0</v>
      </c>
      <c r="R12" s="166"/>
      <c r="S12" s="166"/>
      <c r="T12" s="166"/>
      <c r="U12" s="166"/>
      <c r="V12" s="167"/>
      <c r="W12" s="157">
        <f>IF(K12&lt;&gt;0,IF(BP9=10,IF(K12*0.1&gt;=10000,10000,IF(K12*0.1&lt;=2300,2300,ROUND(K12*0.1,0))),IF(BP9=8,IF(K12*0.08&gt;=8000,8000,IF(K12*0.08&lt;=2000,2000,ROUND(K12*0.08,0))),IF(BP9=6,IF(K12*0.06&gt;=6000,6000,IF(K12*0.06&lt;=1500,1500,ROUND(K12*0.06,0))),IF(BP9=4,IF(K12*0.04&gt;=4000,4000,IF(K12*0.04&lt;=1200,1200,ROUND(K12*0.04,0))),0)))),0)</f>
        <v>0</v>
      </c>
      <c r="X12" s="247"/>
      <c r="Y12" s="247"/>
      <c r="Z12" s="247"/>
      <c r="AA12" s="247"/>
      <c r="AB12" s="248"/>
      <c r="AC12" s="157">
        <f>SUM(K12,Q12,W12)</f>
        <v>0</v>
      </c>
      <c r="AD12" s="164"/>
      <c r="AE12" s="164"/>
      <c r="AF12" s="164"/>
      <c r="AG12" s="164"/>
      <c r="AH12" s="164"/>
      <c r="AI12" s="165"/>
      <c r="AJ12" s="157">
        <f>IF('Basic Information'!G20&lt;&gt;0,'Basic Information'!G20,0)</f>
        <v>0</v>
      </c>
      <c r="AK12" s="158"/>
      <c r="AL12" s="158"/>
      <c r="AM12" s="158"/>
      <c r="AN12" s="158"/>
      <c r="AO12" s="159"/>
      <c r="AP12" s="157">
        <f>IF('Basic Information'!S20&lt;&gt;0,'Basic Information'!S20,0)</f>
        <v>0</v>
      </c>
      <c r="AQ12" s="158"/>
      <c r="AR12" s="158"/>
      <c r="AS12" s="158"/>
      <c r="AT12" s="159"/>
      <c r="AU12" s="157">
        <f>IF('Basic Information'!AB20&lt;&gt;0,'Basic Information'!AB20,0)</f>
        <v>0</v>
      </c>
      <c r="AV12" s="158"/>
      <c r="AW12" s="158"/>
      <c r="AX12" s="158"/>
      <c r="AY12" s="159"/>
      <c r="AZ12" s="157">
        <f>IF('Basic Information'!AK20&lt;&gt;0,'Basic Information'!AK20,0)</f>
        <v>0</v>
      </c>
      <c r="BA12" s="158"/>
      <c r="BB12" s="158"/>
      <c r="BC12" s="158"/>
      <c r="BD12" s="159"/>
      <c r="BE12" s="157">
        <f>IF('Basic Information'!AT20&lt;&gt;0,'Basic Information'!AT20,0)</f>
        <v>0</v>
      </c>
      <c r="BF12" s="158"/>
      <c r="BG12" s="158"/>
      <c r="BH12" s="158"/>
      <c r="BI12" s="158"/>
      <c r="BJ12" s="159"/>
      <c r="BQ12" s="334" t="s">
        <v>36</v>
      </c>
      <c r="BR12" s="335"/>
      <c r="BS12" s="335"/>
      <c r="BT12" s="335"/>
      <c r="BU12" s="335"/>
      <c r="BV12" s="335"/>
    </row>
    <row r="13" spans="2:74" ht="15" customHeight="1" x14ac:dyDescent="0.25">
      <c r="B13" s="173" t="s">
        <v>29</v>
      </c>
      <c r="C13" s="174"/>
      <c r="D13" s="174"/>
      <c r="E13" s="174"/>
      <c r="F13" s="174"/>
      <c r="G13" s="174"/>
      <c r="H13" s="175">
        <v>2025</v>
      </c>
      <c r="I13" s="175"/>
      <c r="J13" s="176"/>
      <c r="K13" s="157">
        <f>IF(K12&lt;&gt;0,K12,0)</f>
        <v>0</v>
      </c>
      <c r="L13" s="158"/>
      <c r="M13" s="158"/>
      <c r="N13" s="158"/>
      <c r="O13" s="158"/>
      <c r="P13" s="159"/>
      <c r="Q13" s="157">
        <f t="shared" ref="Q13:Q16" si="0">IF(ISNUMBER(K13),ROUND((K13)*0.38,0),0)</f>
        <v>0</v>
      </c>
      <c r="R13" s="166"/>
      <c r="S13" s="166"/>
      <c r="T13" s="166"/>
      <c r="U13" s="166"/>
      <c r="V13" s="167"/>
      <c r="W13" s="157">
        <f>IF(K13&lt;&gt;0,IF(BP9=10,IF(K13*0.1&gt;=10000,10000,IF(K13*0.1&lt;=2300,2300,ROUND(K13*0.1,0))),IF(BP9=8,IF(K13*0.08&gt;=8000,8000,IF(K13*0.08&lt;=2000,2000,ROUND(K13*0.08,0))),IF(BP9=6,IF(K13*0.06&gt;=6000,6000,IF(K13*0.06&lt;=1500,1500,ROUND(K13*0.06,0))),IF(BP9=4,IF(K13*0.04&gt;=4000,4000,IF(K13*0.04&lt;=1200,1200,ROUND(K13*0.04,0))),0)))),0)</f>
        <v>0</v>
      </c>
      <c r="X13" s="247"/>
      <c r="Y13" s="247"/>
      <c r="Z13" s="247"/>
      <c r="AA13" s="247"/>
      <c r="AB13" s="248"/>
      <c r="AC13" s="157">
        <f t="shared" ref="AC13:AC23" si="1">SUM(K13,Q13,W13)</f>
        <v>0</v>
      </c>
      <c r="AD13" s="164"/>
      <c r="AE13" s="164"/>
      <c r="AF13" s="164"/>
      <c r="AG13" s="164"/>
      <c r="AH13" s="164"/>
      <c r="AI13" s="165"/>
      <c r="AJ13" s="157">
        <f>IF(AJ12&lt;&gt;0,AJ12,0)</f>
        <v>0</v>
      </c>
      <c r="AK13" s="158"/>
      <c r="AL13" s="158"/>
      <c r="AM13" s="158"/>
      <c r="AN13" s="158"/>
      <c r="AO13" s="159"/>
      <c r="AP13" s="157">
        <f t="shared" ref="AP13:AP23" si="2">IF(AP12&lt;&gt;0,AP12,0)</f>
        <v>0</v>
      </c>
      <c r="AQ13" s="158"/>
      <c r="AR13" s="158"/>
      <c r="AS13" s="158"/>
      <c r="AT13" s="159"/>
      <c r="AU13" s="157">
        <f>IF(AU12&lt;&gt;0,AU12,0)</f>
        <v>0</v>
      </c>
      <c r="AV13" s="158"/>
      <c r="AW13" s="158"/>
      <c r="AX13" s="158"/>
      <c r="AY13" s="159"/>
      <c r="AZ13" s="157">
        <f>IF(AZ12&lt;&gt;0,AZ12,0)</f>
        <v>0</v>
      </c>
      <c r="BA13" s="158"/>
      <c r="BB13" s="158"/>
      <c r="BC13" s="158"/>
      <c r="BD13" s="159"/>
      <c r="BE13" s="157">
        <f>IF(BE12&lt;&gt;0,BE12,0)</f>
        <v>0</v>
      </c>
      <c r="BF13" s="158"/>
      <c r="BG13" s="158"/>
      <c r="BH13" s="158"/>
      <c r="BI13" s="158"/>
      <c r="BJ13" s="159"/>
      <c r="BQ13" s="114"/>
      <c r="BR13" s="114"/>
      <c r="BS13" s="114"/>
      <c r="BT13" s="114"/>
      <c r="BU13" s="114"/>
      <c r="BV13" s="114"/>
    </row>
    <row r="14" spans="2:74" ht="15" customHeight="1" x14ac:dyDescent="0.35">
      <c r="B14" s="173" t="s">
        <v>30</v>
      </c>
      <c r="C14" s="174"/>
      <c r="D14" s="174"/>
      <c r="E14" s="174"/>
      <c r="F14" s="174"/>
      <c r="G14" s="174"/>
      <c r="H14" s="175">
        <v>2025</v>
      </c>
      <c r="I14" s="175"/>
      <c r="J14" s="176"/>
      <c r="K14" s="157">
        <f>IF(K13&lt;&gt;0,K13,0)</f>
        <v>0</v>
      </c>
      <c r="L14" s="158"/>
      <c r="M14" s="158"/>
      <c r="N14" s="158"/>
      <c r="O14" s="158"/>
      <c r="P14" s="159"/>
      <c r="Q14" s="157">
        <f t="shared" si="0"/>
        <v>0</v>
      </c>
      <c r="R14" s="166"/>
      <c r="S14" s="166"/>
      <c r="T14" s="166"/>
      <c r="U14" s="166"/>
      <c r="V14" s="167"/>
      <c r="W14" s="157">
        <f>IF(K14&lt;&gt;0,IF(BP9=10,IF(K14*0.1&gt;=10000,10000,IF(K14*0.1&lt;=2300,2300,ROUND(K14*0.1,0))),IF(BP9=8,IF(K14*0.08&gt;=8000,8000,IF(K14*0.08&lt;=2000,2000,ROUND(K14*0.08,0))),IF(BP9=6,IF(K14*0.06&gt;=6000,6000,IF(K14*0.06&lt;=1500,1500,ROUND(K14*0.06,0))),IF(BP9=4,IF(K14*0.04&gt;=4000,4000,IF(K14*0.04&lt;=1200,1200,ROUND(K14*0.04,0))),0)))),0)</f>
        <v>0</v>
      </c>
      <c r="X14" s="247"/>
      <c r="Y14" s="247"/>
      <c r="Z14" s="247"/>
      <c r="AA14" s="247"/>
      <c r="AB14" s="248"/>
      <c r="AC14" s="157">
        <f t="shared" si="1"/>
        <v>0</v>
      </c>
      <c r="AD14" s="164"/>
      <c r="AE14" s="164"/>
      <c r="AF14" s="164"/>
      <c r="AG14" s="164"/>
      <c r="AH14" s="164"/>
      <c r="AI14" s="165"/>
      <c r="AJ14" s="157">
        <f t="shared" ref="AJ14:AJ22" si="3">IF(AJ13&lt;&gt;0,AJ13,0)</f>
        <v>0</v>
      </c>
      <c r="AK14" s="158"/>
      <c r="AL14" s="158"/>
      <c r="AM14" s="158"/>
      <c r="AN14" s="158"/>
      <c r="AO14" s="159"/>
      <c r="AP14" s="157">
        <f t="shared" si="2"/>
        <v>0</v>
      </c>
      <c r="AQ14" s="158"/>
      <c r="AR14" s="158"/>
      <c r="AS14" s="158"/>
      <c r="AT14" s="159"/>
      <c r="AU14" s="157">
        <f t="shared" ref="AU14:AU23" si="4">IF(AU13&lt;&gt;0,AU13,0)</f>
        <v>0</v>
      </c>
      <c r="AV14" s="158"/>
      <c r="AW14" s="158"/>
      <c r="AX14" s="158"/>
      <c r="AY14" s="159"/>
      <c r="AZ14" s="157">
        <f t="shared" ref="AZ14:AZ23" si="5">IF(AZ13&lt;&gt;0,AZ13,0)</f>
        <v>0</v>
      </c>
      <c r="BA14" s="158"/>
      <c r="BB14" s="158"/>
      <c r="BC14" s="158"/>
      <c r="BD14" s="159"/>
      <c r="BE14" s="157">
        <f t="shared" ref="BE14:BE23" si="6">IF(BE13&lt;&gt;0,BE13,0)</f>
        <v>0</v>
      </c>
      <c r="BF14" s="158"/>
      <c r="BG14" s="158"/>
      <c r="BH14" s="158"/>
      <c r="BI14" s="158"/>
      <c r="BJ14" s="159"/>
      <c r="BQ14" s="48"/>
      <c r="BR14" s="328" t="s">
        <v>22</v>
      </c>
      <c r="BS14" s="328"/>
      <c r="BT14" s="328"/>
      <c r="BU14" s="328"/>
      <c r="BV14" s="328"/>
    </row>
    <row r="15" spans="2:74" ht="15" customHeight="1" x14ac:dyDescent="0.35">
      <c r="B15" s="173" t="s">
        <v>31</v>
      </c>
      <c r="C15" s="174"/>
      <c r="D15" s="174"/>
      <c r="E15" s="174"/>
      <c r="F15" s="174"/>
      <c r="G15" s="174"/>
      <c r="H15" s="175">
        <v>2025</v>
      </c>
      <c r="I15" s="175"/>
      <c r="J15" s="176"/>
      <c r="K15" s="157">
        <f>IF(K14&lt;&gt;0,K14,0)</f>
        <v>0</v>
      </c>
      <c r="L15" s="158"/>
      <c r="M15" s="158"/>
      <c r="N15" s="158"/>
      <c r="O15" s="158"/>
      <c r="P15" s="159"/>
      <c r="Q15" s="157">
        <f t="shared" si="0"/>
        <v>0</v>
      </c>
      <c r="R15" s="166"/>
      <c r="S15" s="166"/>
      <c r="T15" s="166"/>
      <c r="U15" s="166"/>
      <c r="V15" s="167"/>
      <c r="W15" s="157">
        <f>IF(K15&lt;&gt;0,IF(BP9=10,IF(K15*0.1&gt;=10000,10000,IF(K15*0.1&lt;=2300,2300,ROUND(K15*0.1,0))),IF(BP9=8,IF(K15*0.08&gt;=8000,8000,IF(K15*0.08&lt;=2000,2000,ROUND(K15*0.08,0))),IF(BP9=6,IF(K15*0.06&gt;=6000,6000,IF(K15*0.06&lt;=1500,1500,ROUND(K15*0.06,0))),IF(BP9=4,IF(K15*0.04&gt;=4000,4000,IF(K15*0.04&lt;=1200,1200,ROUND(K15*0.04,0))),0)))),0)</f>
        <v>0</v>
      </c>
      <c r="X15" s="247"/>
      <c r="Y15" s="247"/>
      <c r="Z15" s="247"/>
      <c r="AA15" s="247"/>
      <c r="AB15" s="248"/>
      <c r="AC15" s="157">
        <f t="shared" si="1"/>
        <v>0</v>
      </c>
      <c r="AD15" s="164"/>
      <c r="AE15" s="164"/>
      <c r="AF15" s="164"/>
      <c r="AG15" s="164"/>
      <c r="AH15" s="164"/>
      <c r="AI15" s="165"/>
      <c r="AJ15" s="157">
        <f t="shared" si="3"/>
        <v>0</v>
      </c>
      <c r="AK15" s="158"/>
      <c r="AL15" s="158"/>
      <c r="AM15" s="158"/>
      <c r="AN15" s="158"/>
      <c r="AO15" s="159"/>
      <c r="AP15" s="157">
        <f t="shared" si="2"/>
        <v>0</v>
      </c>
      <c r="AQ15" s="158"/>
      <c r="AR15" s="158"/>
      <c r="AS15" s="158"/>
      <c r="AT15" s="159"/>
      <c r="AU15" s="157">
        <f t="shared" si="4"/>
        <v>0</v>
      </c>
      <c r="AV15" s="158"/>
      <c r="AW15" s="158"/>
      <c r="AX15" s="158"/>
      <c r="AY15" s="159"/>
      <c r="AZ15" s="157">
        <f t="shared" si="5"/>
        <v>0</v>
      </c>
      <c r="BA15" s="158"/>
      <c r="BB15" s="158"/>
      <c r="BC15" s="158"/>
      <c r="BD15" s="159"/>
      <c r="BE15" s="157">
        <f t="shared" si="6"/>
        <v>0</v>
      </c>
      <c r="BF15" s="158"/>
      <c r="BG15" s="158"/>
      <c r="BH15" s="158"/>
      <c r="BI15" s="158"/>
      <c r="BJ15" s="159"/>
      <c r="BQ15" s="48"/>
      <c r="BR15" s="329" t="s">
        <v>130</v>
      </c>
      <c r="BS15" s="330"/>
      <c r="BT15" s="330"/>
      <c r="BU15" s="330"/>
      <c r="BV15" s="330"/>
    </row>
    <row r="16" spans="2:74" ht="15" customHeight="1" x14ac:dyDescent="0.35">
      <c r="B16" s="173" t="s">
        <v>32</v>
      </c>
      <c r="C16" s="174"/>
      <c r="D16" s="174"/>
      <c r="E16" s="174"/>
      <c r="F16" s="174"/>
      <c r="G16" s="174"/>
      <c r="H16" s="175">
        <v>2025</v>
      </c>
      <c r="I16" s="175"/>
      <c r="J16" s="176"/>
      <c r="K16" s="157">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158"/>
      <c r="M16" s="158"/>
      <c r="N16" s="158"/>
      <c r="O16" s="158"/>
      <c r="P16" s="159"/>
      <c r="Q16" s="157">
        <f t="shared" si="0"/>
        <v>0</v>
      </c>
      <c r="R16" s="166"/>
      <c r="S16" s="166"/>
      <c r="T16" s="166"/>
      <c r="U16" s="166"/>
      <c r="V16" s="167"/>
      <c r="W16" s="157">
        <f>IF(K16&lt;&gt;0,IF(BP9=10,IF(K16*0.1&gt;=10000,10000,IF(K16*0.1&lt;=2300,2300,ROUND(K16*0.1,0))),IF(BP9=8,IF(K16*0.08&gt;=8000,8000,IF(K16*0.08&lt;=2000,2000,ROUND(K16*0.08,0))),IF(BP9=6,IF(K16*0.06&gt;=6000,6000,IF(K16*0.06&lt;=1500,1500,ROUND(K16*0.06,0))),IF(BP9=4,IF(K16*0.04&gt;=4000,4000,IF(K16*0.04&lt;=1200,1200,ROUND(K16*0.04,0))),0)))),0)</f>
        <v>0</v>
      </c>
      <c r="X16" s="247"/>
      <c r="Y16" s="247"/>
      <c r="Z16" s="247"/>
      <c r="AA16" s="247"/>
      <c r="AB16" s="248"/>
      <c r="AC16" s="157">
        <f t="shared" si="1"/>
        <v>0</v>
      </c>
      <c r="AD16" s="164"/>
      <c r="AE16" s="164"/>
      <c r="AF16" s="164"/>
      <c r="AG16" s="164"/>
      <c r="AH16" s="164"/>
      <c r="AI16" s="165"/>
      <c r="AJ16" s="157">
        <f t="shared" si="3"/>
        <v>0</v>
      </c>
      <c r="AK16" s="158"/>
      <c r="AL16" s="158"/>
      <c r="AM16" s="158"/>
      <c r="AN16" s="158"/>
      <c r="AO16" s="159"/>
      <c r="AP16" s="157">
        <f t="shared" si="2"/>
        <v>0</v>
      </c>
      <c r="AQ16" s="158"/>
      <c r="AR16" s="158"/>
      <c r="AS16" s="158"/>
      <c r="AT16" s="159"/>
      <c r="AU16" s="157">
        <f t="shared" si="4"/>
        <v>0</v>
      </c>
      <c r="AV16" s="158"/>
      <c r="AW16" s="158"/>
      <c r="AX16" s="158"/>
      <c r="AY16" s="159"/>
      <c r="AZ16" s="157">
        <f t="shared" si="5"/>
        <v>0</v>
      </c>
      <c r="BA16" s="158"/>
      <c r="BB16" s="158"/>
      <c r="BC16" s="158"/>
      <c r="BD16" s="159"/>
      <c r="BE16" s="157">
        <f t="shared" si="6"/>
        <v>0</v>
      </c>
      <c r="BF16" s="158"/>
      <c r="BG16" s="158"/>
      <c r="BH16" s="158"/>
      <c r="BI16" s="158"/>
      <c r="BJ16" s="159"/>
      <c r="BP16" s="43"/>
      <c r="BQ16" s="49"/>
      <c r="BR16" s="331" t="s">
        <v>37</v>
      </c>
      <c r="BS16" s="331"/>
      <c r="BT16" s="331"/>
      <c r="BU16" s="331"/>
      <c r="BV16" s="331"/>
    </row>
    <row r="17" spans="2:74" ht="15" customHeight="1" x14ac:dyDescent="0.35">
      <c r="B17" s="173" t="s">
        <v>33</v>
      </c>
      <c r="C17" s="174"/>
      <c r="D17" s="174"/>
      <c r="E17" s="174"/>
      <c r="F17" s="174"/>
      <c r="G17" s="174"/>
      <c r="H17" s="175">
        <v>2025</v>
      </c>
      <c r="I17" s="175"/>
      <c r="J17" s="176"/>
      <c r="K17" s="157">
        <f>IF(K16&lt;&gt;0,K16,0)</f>
        <v>0</v>
      </c>
      <c r="L17" s="158"/>
      <c r="M17" s="158"/>
      <c r="N17" s="158"/>
      <c r="O17" s="158"/>
      <c r="P17" s="159"/>
      <c r="Q17" s="157">
        <f t="shared" ref="Q17:Q18" si="7">IF(ISNUMBER(K17),ROUND((K17)*0.42,0),0)</f>
        <v>0</v>
      </c>
      <c r="R17" s="166"/>
      <c r="S17" s="166"/>
      <c r="T17" s="166"/>
      <c r="U17" s="166"/>
      <c r="V17" s="167"/>
      <c r="W17" s="157">
        <f>IF(K17&lt;&gt;0,IF(BP9=10,IF(K17*0.1&gt;=10000,10000,IF(K17*0.1&lt;=2300,2300,ROUND(K17*0.1,0))),IF(BP9=8,IF(K17*0.08&gt;=8000,8000,IF(K17*0.08&lt;=2000,2000,ROUND(K17*0.08,0))),IF(BP9=6,IF(K17*0.06&gt;=6000,6000,IF(K17*0.06&lt;=1500,1500,ROUND(K17*0.06,0))),IF(BP9=4,IF(K17*0.04&gt;=4000,4000,IF(K17*0.04&lt;=1200,1200,ROUND(K17*0.04,0))),0)))),0)</f>
        <v>0</v>
      </c>
      <c r="X17" s="247"/>
      <c r="Y17" s="247"/>
      <c r="Z17" s="247"/>
      <c r="AA17" s="247"/>
      <c r="AB17" s="248"/>
      <c r="AC17" s="157">
        <f t="shared" si="1"/>
        <v>0</v>
      </c>
      <c r="AD17" s="164"/>
      <c r="AE17" s="164"/>
      <c r="AF17" s="164"/>
      <c r="AG17" s="164"/>
      <c r="AH17" s="164"/>
      <c r="AI17" s="165"/>
      <c r="AJ17" s="157">
        <f t="shared" si="3"/>
        <v>0</v>
      </c>
      <c r="AK17" s="158"/>
      <c r="AL17" s="158"/>
      <c r="AM17" s="158"/>
      <c r="AN17" s="158"/>
      <c r="AO17" s="159"/>
      <c r="AP17" s="157">
        <f t="shared" si="2"/>
        <v>0</v>
      </c>
      <c r="AQ17" s="158"/>
      <c r="AR17" s="158"/>
      <c r="AS17" s="158"/>
      <c r="AT17" s="159"/>
      <c r="AU17" s="157">
        <f t="shared" si="4"/>
        <v>0</v>
      </c>
      <c r="AV17" s="158"/>
      <c r="AW17" s="158"/>
      <c r="AX17" s="158"/>
      <c r="AY17" s="159"/>
      <c r="AZ17" s="157">
        <f t="shared" si="5"/>
        <v>0</v>
      </c>
      <c r="BA17" s="158"/>
      <c r="BB17" s="158"/>
      <c r="BC17" s="158"/>
      <c r="BD17" s="159"/>
      <c r="BE17" s="157">
        <f t="shared" si="6"/>
        <v>0</v>
      </c>
      <c r="BF17" s="158"/>
      <c r="BG17" s="158"/>
      <c r="BH17" s="158"/>
      <c r="BI17" s="158"/>
      <c r="BJ17" s="159"/>
      <c r="BQ17" s="49"/>
      <c r="BR17" s="76"/>
      <c r="BS17" s="76"/>
      <c r="BT17" s="76"/>
      <c r="BU17" s="76"/>
      <c r="BV17" s="48"/>
    </row>
    <row r="18" spans="2:74" ht="15" customHeight="1" x14ac:dyDescent="0.25">
      <c r="B18" s="173" t="s">
        <v>24</v>
      </c>
      <c r="C18" s="174"/>
      <c r="D18" s="174"/>
      <c r="E18" s="174"/>
      <c r="F18" s="174"/>
      <c r="G18" s="174"/>
      <c r="H18" s="175">
        <v>2025</v>
      </c>
      <c r="I18" s="175"/>
      <c r="J18" s="176"/>
      <c r="K18" s="157">
        <f>IF(K17&lt;&gt;0,K17,0)</f>
        <v>0</v>
      </c>
      <c r="L18" s="158"/>
      <c r="M18" s="158"/>
      <c r="N18" s="158"/>
      <c r="O18" s="158"/>
      <c r="P18" s="159"/>
      <c r="Q18" s="157">
        <f t="shared" si="7"/>
        <v>0</v>
      </c>
      <c r="R18" s="166"/>
      <c r="S18" s="166"/>
      <c r="T18" s="166"/>
      <c r="U18" s="166"/>
      <c r="V18" s="167"/>
      <c r="W18" s="157">
        <f>IF(K18&lt;&gt;0,IF(BP9=10,IF(K18*0.1&gt;=10000,10000,IF(K18*0.1&lt;=2300,2300,ROUND(K18*0.1,0))),IF(BP9=8,IF(K18*0.08&gt;=8000,8000,IF(K18*0.08&lt;=2000,2000,ROUND(K18*0.08,0))),IF(BP9=6,IF(K18*0.06&gt;=6000,6000,IF(K18*0.06&lt;=1500,1500,ROUND(K18*0.06,0))),IF(BP9=4,IF(K18*0.04&gt;=4000,4000,IF(K18*0.04&lt;=1200,1200,ROUND(K18*0.04,0))),0)))),0)</f>
        <v>0</v>
      </c>
      <c r="X18" s="247"/>
      <c r="Y18" s="247"/>
      <c r="Z18" s="247"/>
      <c r="AA18" s="247"/>
      <c r="AB18" s="248"/>
      <c r="AC18" s="157">
        <f t="shared" si="1"/>
        <v>0</v>
      </c>
      <c r="AD18" s="164"/>
      <c r="AE18" s="164"/>
      <c r="AF18" s="164"/>
      <c r="AG18" s="164"/>
      <c r="AH18" s="164"/>
      <c r="AI18" s="165"/>
      <c r="AJ18" s="157">
        <f t="shared" si="3"/>
        <v>0</v>
      </c>
      <c r="AK18" s="158"/>
      <c r="AL18" s="158"/>
      <c r="AM18" s="158"/>
      <c r="AN18" s="158"/>
      <c r="AO18" s="159"/>
      <c r="AP18" s="157">
        <f t="shared" si="2"/>
        <v>0</v>
      </c>
      <c r="AQ18" s="158"/>
      <c r="AR18" s="158"/>
      <c r="AS18" s="158"/>
      <c r="AT18" s="159"/>
      <c r="AU18" s="157">
        <f t="shared" si="4"/>
        <v>0</v>
      </c>
      <c r="AV18" s="158"/>
      <c r="AW18" s="158"/>
      <c r="AX18" s="158"/>
      <c r="AY18" s="159"/>
      <c r="AZ18" s="157">
        <f t="shared" si="5"/>
        <v>0</v>
      </c>
      <c r="BA18" s="158"/>
      <c r="BB18" s="158"/>
      <c r="BC18" s="158"/>
      <c r="BD18" s="159"/>
      <c r="BE18" s="157">
        <f t="shared" si="6"/>
        <v>0</v>
      </c>
      <c r="BF18" s="158"/>
      <c r="BG18" s="158"/>
      <c r="BH18" s="158"/>
      <c r="BI18" s="158"/>
      <c r="BJ18" s="159"/>
      <c r="BQ18" s="332" t="s">
        <v>138</v>
      </c>
      <c r="BR18" s="333"/>
      <c r="BS18" s="333"/>
      <c r="BT18" s="333"/>
      <c r="BU18" s="333"/>
      <c r="BV18" s="333"/>
    </row>
    <row r="19" spans="2:74" ht="15" customHeight="1" x14ac:dyDescent="0.25">
      <c r="B19" s="173" t="s">
        <v>34</v>
      </c>
      <c r="C19" s="174"/>
      <c r="D19" s="174"/>
      <c r="E19" s="174"/>
      <c r="F19" s="174"/>
      <c r="G19" s="174"/>
      <c r="H19" s="175">
        <v>2025</v>
      </c>
      <c r="I19" s="175"/>
      <c r="J19" s="176"/>
      <c r="K19" s="157">
        <f>IF(K18&lt;&gt;0,K18,0)</f>
        <v>0</v>
      </c>
      <c r="L19" s="158"/>
      <c r="M19" s="158"/>
      <c r="N19" s="158"/>
      <c r="O19" s="158"/>
      <c r="P19" s="159"/>
      <c r="Q19" s="157">
        <f>IF(ISNUMBER(K19),ROUND((K19)*0.46,0),0)</f>
        <v>0</v>
      </c>
      <c r="R19" s="166"/>
      <c r="S19" s="166"/>
      <c r="T19" s="166"/>
      <c r="U19" s="166"/>
      <c r="V19" s="167"/>
      <c r="W19" s="157">
        <f>IF(K19&lt;&gt;0,IF(BP9=10,IF(K19*0.1&gt;=10000,10000,IF(K19*0.1&lt;=2300,2300,ROUND(K19*0.1,0))),IF(BP9=8,IF(K19*0.08&gt;=8000,8000,IF(K19*0.08&lt;=2000,2000,ROUND(K19*0.08,0))),IF(BP9=6,IF(K19*0.06&gt;=6000,6000,IF(K19*0.06&lt;=1500,1500,ROUND(K19*0.06,0))),IF(BP9=4,IF(K19*0.04&gt;=4000,4000,IF(K19*0.04&lt;=1200,1200,ROUND(K19*0.04,0))),0)))),0)</f>
        <v>0</v>
      </c>
      <c r="X19" s="247"/>
      <c r="Y19" s="247"/>
      <c r="Z19" s="247"/>
      <c r="AA19" s="247"/>
      <c r="AB19" s="248"/>
      <c r="AC19" s="157">
        <f t="shared" si="1"/>
        <v>0</v>
      </c>
      <c r="AD19" s="164"/>
      <c r="AE19" s="164"/>
      <c r="AF19" s="164"/>
      <c r="AG19" s="164"/>
      <c r="AH19" s="164"/>
      <c r="AI19" s="165"/>
      <c r="AJ19" s="157">
        <f t="shared" si="3"/>
        <v>0</v>
      </c>
      <c r="AK19" s="158"/>
      <c r="AL19" s="158"/>
      <c r="AM19" s="158"/>
      <c r="AN19" s="158"/>
      <c r="AO19" s="159"/>
      <c r="AP19" s="157">
        <f t="shared" si="2"/>
        <v>0</v>
      </c>
      <c r="AQ19" s="158"/>
      <c r="AR19" s="158"/>
      <c r="AS19" s="158"/>
      <c r="AT19" s="159"/>
      <c r="AU19" s="157">
        <f t="shared" si="4"/>
        <v>0</v>
      </c>
      <c r="AV19" s="158"/>
      <c r="AW19" s="158"/>
      <c r="AX19" s="158"/>
      <c r="AY19" s="159"/>
      <c r="AZ19" s="157">
        <f t="shared" si="5"/>
        <v>0</v>
      </c>
      <c r="BA19" s="158"/>
      <c r="BB19" s="158"/>
      <c r="BC19" s="158"/>
      <c r="BD19" s="159"/>
      <c r="BE19" s="157">
        <f t="shared" si="6"/>
        <v>0</v>
      </c>
      <c r="BF19" s="158"/>
      <c r="BG19" s="158"/>
      <c r="BH19" s="158"/>
      <c r="BI19" s="158"/>
      <c r="BJ19" s="159"/>
      <c r="BQ19" s="333"/>
      <c r="BR19" s="333"/>
      <c r="BS19" s="333"/>
      <c r="BT19" s="333"/>
      <c r="BU19" s="333"/>
      <c r="BV19" s="333"/>
    </row>
    <row r="20" spans="2:74" ht="15" customHeight="1" x14ac:dyDescent="0.25">
      <c r="B20" s="173" t="s">
        <v>35</v>
      </c>
      <c r="C20" s="174"/>
      <c r="D20" s="174"/>
      <c r="E20" s="174"/>
      <c r="F20" s="174"/>
      <c r="G20" s="174"/>
      <c r="H20" s="175">
        <v>2025</v>
      </c>
      <c r="I20" s="175"/>
      <c r="J20" s="176"/>
      <c r="K20" s="157">
        <f>IF(K19&lt;&gt;0,K19,0)</f>
        <v>0</v>
      </c>
      <c r="L20" s="158"/>
      <c r="M20" s="158"/>
      <c r="N20" s="158"/>
      <c r="O20" s="158"/>
      <c r="P20" s="159"/>
      <c r="Q20" s="157">
        <f t="shared" ref="Q20:Q23" si="8">IF(ISNUMBER(K20),ROUND((K20)*0.46,0),0)</f>
        <v>0</v>
      </c>
      <c r="R20" s="166"/>
      <c r="S20" s="166"/>
      <c r="T20" s="166"/>
      <c r="U20" s="166"/>
      <c r="V20" s="167"/>
      <c r="W20" s="157">
        <f>IF(K20&lt;&gt;0,IF(BP9=10,IF(K20*0.1&gt;=10000,10000,IF(K20*0.1&lt;=2300,2300,ROUND(K20*0.1,0))),IF(BP9=8,IF(K20*0.08&gt;=8000,8000,IF(K20*0.08&lt;=2000,2000,ROUND(K20*0.08,0))),IF(BP9=6,IF(K20*0.06&gt;=6000,6000,IF(K20*0.06&lt;=1500,1500,ROUND(K20*0.06,0))),IF(BP9=4,IF(K20*0.04&gt;=4000,4000,IF(K20*0.04&lt;=1200,1200,ROUND(K20*0.04,0))),0)))),0)</f>
        <v>0</v>
      </c>
      <c r="X20" s="247"/>
      <c r="Y20" s="247"/>
      <c r="Z20" s="247"/>
      <c r="AA20" s="247"/>
      <c r="AB20" s="248"/>
      <c r="AC20" s="157">
        <f t="shared" si="1"/>
        <v>0</v>
      </c>
      <c r="AD20" s="164"/>
      <c r="AE20" s="164"/>
      <c r="AF20" s="164"/>
      <c r="AG20" s="164"/>
      <c r="AH20" s="164"/>
      <c r="AI20" s="165"/>
      <c r="AJ20" s="157">
        <f t="shared" si="3"/>
        <v>0</v>
      </c>
      <c r="AK20" s="158"/>
      <c r="AL20" s="158"/>
      <c r="AM20" s="158"/>
      <c r="AN20" s="158"/>
      <c r="AO20" s="159"/>
      <c r="AP20" s="157">
        <f t="shared" si="2"/>
        <v>0</v>
      </c>
      <c r="AQ20" s="158"/>
      <c r="AR20" s="158"/>
      <c r="AS20" s="158"/>
      <c r="AT20" s="159"/>
      <c r="AU20" s="157">
        <f t="shared" si="4"/>
        <v>0</v>
      </c>
      <c r="AV20" s="158"/>
      <c r="AW20" s="158"/>
      <c r="AX20" s="158"/>
      <c r="AY20" s="159"/>
      <c r="AZ20" s="157">
        <f t="shared" si="5"/>
        <v>0</v>
      </c>
      <c r="BA20" s="158"/>
      <c r="BB20" s="158"/>
      <c r="BC20" s="158"/>
      <c r="BD20" s="159"/>
      <c r="BE20" s="157">
        <f t="shared" si="6"/>
        <v>0</v>
      </c>
      <c r="BF20" s="158"/>
      <c r="BG20" s="158"/>
      <c r="BH20" s="158"/>
      <c r="BI20" s="158"/>
      <c r="BJ20" s="159"/>
      <c r="BQ20" s="333"/>
      <c r="BR20" s="333"/>
      <c r="BS20" s="333"/>
      <c r="BT20" s="333"/>
      <c r="BU20" s="333"/>
      <c r="BV20" s="333"/>
    </row>
    <row r="21" spans="2:74" ht="15" customHeight="1" x14ac:dyDescent="0.25">
      <c r="B21" s="173" t="s">
        <v>27</v>
      </c>
      <c r="C21" s="174"/>
      <c r="D21" s="174"/>
      <c r="E21" s="174"/>
      <c r="F21" s="174"/>
      <c r="G21" s="174"/>
      <c r="H21" s="175">
        <v>2025</v>
      </c>
      <c r="I21" s="175"/>
      <c r="J21" s="176"/>
      <c r="K21" s="157">
        <f>IF(K20&lt;&gt;0,K20,0)</f>
        <v>0</v>
      </c>
      <c r="L21" s="158"/>
      <c r="M21" s="158"/>
      <c r="N21" s="158"/>
      <c r="O21" s="158"/>
      <c r="P21" s="159"/>
      <c r="Q21" s="157">
        <f t="shared" si="8"/>
        <v>0</v>
      </c>
      <c r="R21" s="166"/>
      <c r="S21" s="166"/>
      <c r="T21" s="166"/>
      <c r="U21" s="166"/>
      <c r="V21" s="167"/>
      <c r="W21" s="157">
        <f>IF(K21&lt;&gt;0,IF(BP9=10,IF(K21*0.1&gt;=10000,10000,IF(K21*0.1&lt;=2300,2300,ROUND(K21*0.1,0))),IF(BP9=8,IF(K21*0.08&gt;=8000,8000,IF(K21*0.08&lt;=2000,2000,ROUND(K21*0.08,0))),IF(BP9=6,IF(K21*0.06&gt;=6000,6000,IF(K21*0.06&lt;=1500,1500,ROUND(K21*0.06,0))),IF(BP9=4,IF(K21*0.04&gt;=4000,4000,IF(K21*0.04&lt;=1200,1200,ROUND(K21*0.04,0))),0)))),0)</f>
        <v>0</v>
      </c>
      <c r="X21" s="247"/>
      <c r="Y21" s="247"/>
      <c r="Z21" s="247"/>
      <c r="AA21" s="247"/>
      <c r="AB21" s="248"/>
      <c r="AC21" s="157">
        <f t="shared" si="1"/>
        <v>0</v>
      </c>
      <c r="AD21" s="164"/>
      <c r="AE21" s="164"/>
      <c r="AF21" s="164"/>
      <c r="AG21" s="164"/>
      <c r="AH21" s="164"/>
      <c r="AI21" s="165"/>
      <c r="AJ21" s="157">
        <f t="shared" si="3"/>
        <v>0</v>
      </c>
      <c r="AK21" s="158"/>
      <c r="AL21" s="158"/>
      <c r="AM21" s="158"/>
      <c r="AN21" s="158"/>
      <c r="AO21" s="159"/>
      <c r="AP21" s="157">
        <f t="shared" si="2"/>
        <v>0</v>
      </c>
      <c r="AQ21" s="158"/>
      <c r="AR21" s="158"/>
      <c r="AS21" s="158"/>
      <c r="AT21" s="159"/>
      <c r="AU21" s="157">
        <f t="shared" si="4"/>
        <v>0</v>
      </c>
      <c r="AV21" s="158"/>
      <c r="AW21" s="158"/>
      <c r="AX21" s="158"/>
      <c r="AY21" s="159"/>
      <c r="AZ21" s="157">
        <f t="shared" si="5"/>
        <v>0</v>
      </c>
      <c r="BA21" s="158"/>
      <c r="BB21" s="158"/>
      <c r="BC21" s="158"/>
      <c r="BD21" s="159"/>
      <c r="BE21" s="157">
        <f t="shared" si="6"/>
        <v>0</v>
      </c>
      <c r="BF21" s="158"/>
      <c r="BG21" s="158"/>
      <c r="BH21" s="158"/>
      <c r="BI21" s="158"/>
      <c r="BJ21" s="159"/>
      <c r="BQ21" s="114"/>
      <c r="BR21" s="114"/>
      <c r="BS21" s="114"/>
      <c r="BT21" s="114"/>
      <c r="BU21" s="114"/>
      <c r="BV21" s="114"/>
    </row>
    <row r="22" spans="2:74" ht="15" customHeight="1" x14ac:dyDescent="0.35">
      <c r="B22" s="173" t="s">
        <v>26</v>
      </c>
      <c r="C22" s="174"/>
      <c r="D22" s="174"/>
      <c r="E22" s="174"/>
      <c r="F22" s="174"/>
      <c r="G22" s="174"/>
      <c r="H22" s="175">
        <v>2026</v>
      </c>
      <c r="I22" s="175"/>
      <c r="J22" s="176"/>
      <c r="K22" s="157">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158"/>
      <c r="M22" s="158"/>
      <c r="N22" s="158"/>
      <c r="O22" s="158"/>
      <c r="P22" s="159"/>
      <c r="Q22" s="157">
        <f t="shared" si="8"/>
        <v>0</v>
      </c>
      <c r="R22" s="166"/>
      <c r="S22" s="166"/>
      <c r="T22" s="166"/>
      <c r="U22" s="166"/>
      <c r="V22" s="167"/>
      <c r="W22" s="157">
        <f>IF(K22&lt;&gt;0,IF(BP9=10,IF(K22*0.1&gt;=10000,10000,IF(K22*0.1&lt;=2300,2300,ROUND(K22*0.1,0))),IF(BP9=8,IF(K22*0.08&gt;=8000,8000,IF(K22*0.08&lt;=2000,2000,ROUND(K22*0.08,0))),IF(BP9=6,IF(K22*0.06&gt;=6000,6000,IF(K22*0.06&lt;=1500,1500,ROUND(K22*0.06,0))),IF(BP9=4,IF(K22*0.04&gt;=4000,4000,IF(K22*0.04&lt;=1200,1200,ROUND(K22*0.04,0))),0)))),0)</f>
        <v>0</v>
      </c>
      <c r="X22" s="247"/>
      <c r="Y22" s="247"/>
      <c r="Z22" s="247"/>
      <c r="AA22" s="247"/>
      <c r="AB22" s="248"/>
      <c r="AC22" s="157">
        <f t="shared" si="1"/>
        <v>0</v>
      </c>
      <c r="AD22" s="164"/>
      <c r="AE22" s="164"/>
      <c r="AF22" s="164"/>
      <c r="AG22" s="164"/>
      <c r="AH22" s="164"/>
      <c r="AI22" s="165"/>
      <c r="AJ22" s="157">
        <f t="shared" si="3"/>
        <v>0</v>
      </c>
      <c r="AK22" s="158"/>
      <c r="AL22" s="158"/>
      <c r="AM22" s="158"/>
      <c r="AN22" s="158"/>
      <c r="AO22" s="159"/>
      <c r="AP22" s="157">
        <f t="shared" si="2"/>
        <v>0</v>
      </c>
      <c r="AQ22" s="158"/>
      <c r="AR22" s="158"/>
      <c r="AS22" s="158"/>
      <c r="AT22" s="159"/>
      <c r="AU22" s="157">
        <f t="shared" si="4"/>
        <v>0</v>
      </c>
      <c r="AV22" s="158"/>
      <c r="AW22" s="158"/>
      <c r="AX22" s="158"/>
      <c r="AY22" s="159"/>
      <c r="AZ22" s="157">
        <f t="shared" si="5"/>
        <v>0</v>
      </c>
      <c r="BA22" s="158"/>
      <c r="BB22" s="158"/>
      <c r="BC22" s="158"/>
      <c r="BD22" s="159"/>
      <c r="BE22" s="157">
        <f t="shared" si="6"/>
        <v>0</v>
      </c>
      <c r="BF22" s="158"/>
      <c r="BG22" s="158"/>
      <c r="BH22" s="158"/>
      <c r="BI22" s="158"/>
      <c r="BJ22" s="159"/>
      <c r="BR22" s="51"/>
      <c r="BS22" s="51"/>
      <c r="BT22" s="51"/>
    </row>
    <row r="23" spans="2:74" ht="15" customHeight="1" x14ac:dyDescent="0.25">
      <c r="B23" s="173" t="s">
        <v>25</v>
      </c>
      <c r="C23" s="174"/>
      <c r="D23" s="174"/>
      <c r="E23" s="174"/>
      <c r="F23" s="174"/>
      <c r="G23" s="174"/>
      <c r="H23" s="175">
        <v>2026</v>
      </c>
      <c r="I23" s="175"/>
      <c r="J23" s="176"/>
      <c r="K23" s="157">
        <f>IF(K22&lt;&gt;0,K22,0)</f>
        <v>0</v>
      </c>
      <c r="L23" s="158"/>
      <c r="M23" s="158"/>
      <c r="N23" s="158"/>
      <c r="O23" s="158"/>
      <c r="P23" s="159"/>
      <c r="Q23" s="157">
        <f t="shared" si="8"/>
        <v>0</v>
      </c>
      <c r="R23" s="166"/>
      <c r="S23" s="166"/>
      <c r="T23" s="166"/>
      <c r="U23" s="166"/>
      <c r="V23" s="167"/>
      <c r="W23" s="157">
        <f>IF(K23&lt;&gt;0,IF(BP9=10,IF(K23*0.1&gt;=10000,10000,IF(K23*0.1&lt;=2300,2300,ROUND(K23*0.1,0))),IF(BP9=8,IF(K23*0.08&gt;=8000,8000,IF(K23*0.08&lt;=2000,2000,ROUND(K23*0.08,0))),IF(BP9=6,IF(K23*0.06&gt;=6000,6000,IF(K23*0.06&lt;=1500,1500,ROUND(K23*0.06,0))),IF(BP9=4,IF(K23*0.04&gt;=4000,4000,IF(K23*0.04&lt;=1200,1200,ROUND(K23*0.04,0))),0)))),0)</f>
        <v>0</v>
      </c>
      <c r="X23" s="247"/>
      <c r="Y23" s="247"/>
      <c r="Z23" s="247"/>
      <c r="AA23" s="247"/>
      <c r="AB23" s="248"/>
      <c r="AC23" s="157">
        <f t="shared" si="1"/>
        <v>0</v>
      </c>
      <c r="AD23" s="164"/>
      <c r="AE23" s="164"/>
      <c r="AF23" s="164"/>
      <c r="AG23" s="164"/>
      <c r="AH23" s="164"/>
      <c r="AI23" s="165"/>
      <c r="AJ23" s="157">
        <f>IF(AJ22&lt;&gt;0,AJ22,0)</f>
        <v>0</v>
      </c>
      <c r="AK23" s="158"/>
      <c r="AL23" s="158"/>
      <c r="AM23" s="158"/>
      <c r="AN23" s="158"/>
      <c r="AO23" s="159"/>
      <c r="AP23" s="157">
        <f t="shared" si="2"/>
        <v>0</v>
      </c>
      <c r="AQ23" s="158"/>
      <c r="AR23" s="158"/>
      <c r="AS23" s="158"/>
      <c r="AT23" s="159"/>
      <c r="AU23" s="157">
        <f t="shared" si="4"/>
        <v>0</v>
      </c>
      <c r="AV23" s="158"/>
      <c r="AW23" s="158"/>
      <c r="AX23" s="158"/>
      <c r="AY23" s="159"/>
      <c r="AZ23" s="157">
        <f t="shared" si="5"/>
        <v>0</v>
      </c>
      <c r="BA23" s="158"/>
      <c r="BB23" s="158"/>
      <c r="BC23" s="158"/>
      <c r="BD23" s="159"/>
      <c r="BE23" s="157">
        <f t="shared" si="6"/>
        <v>0</v>
      </c>
      <c r="BF23" s="158"/>
      <c r="BG23" s="158"/>
      <c r="BH23" s="158"/>
      <c r="BI23" s="158"/>
      <c r="BJ23" s="159"/>
    </row>
    <row r="24" spans="2:74" ht="18" x14ac:dyDescent="0.25">
      <c r="B24" s="241" t="s">
        <v>4</v>
      </c>
      <c r="C24" s="242"/>
      <c r="D24" s="242"/>
      <c r="E24" s="242"/>
      <c r="F24" s="242"/>
      <c r="G24" s="242"/>
      <c r="H24" s="242"/>
      <c r="I24" s="242"/>
      <c r="J24" s="148"/>
      <c r="K24" s="161">
        <f>SUM(K12:K23)</f>
        <v>0</v>
      </c>
      <c r="L24" s="162"/>
      <c r="M24" s="162"/>
      <c r="N24" s="162"/>
      <c r="O24" s="162"/>
      <c r="P24" s="163"/>
      <c r="Q24" s="161">
        <f>SUM(Q12:Q23)</f>
        <v>0</v>
      </c>
      <c r="R24" s="162"/>
      <c r="S24" s="162"/>
      <c r="T24" s="162"/>
      <c r="U24" s="162"/>
      <c r="V24" s="163"/>
      <c r="W24" s="161">
        <f>SUM(W12:W23)</f>
        <v>0</v>
      </c>
      <c r="X24" s="162"/>
      <c r="Y24" s="162">
        <f>SUM(Y12:Y23)</f>
        <v>0</v>
      </c>
      <c r="Z24" s="162"/>
      <c r="AA24" s="162"/>
      <c r="AB24" s="163"/>
      <c r="AC24" s="249">
        <f>SUM(AC12:AC23)</f>
        <v>0</v>
      </c>
      <c r="AD24" s="250"/>
      <c r="AE24" s="250"/>
      <c r="AF24" s="250"/>
      <c r="AG24" s="250"/>
      <c r="AH24" s="250"/>
      <c r="AI24" s="251"/>
      <c r="AJ24" s="280">
        <f>SUM(AJ12:AJ23)</f>
        <v>0</v>
      </c>
      <c r="AK24" s="281"/>
      <c r="AL24" s="281"/>
      <c r="AM24" s="281"/>
      <c r="AN24" s="281"/>
      <c r="AO24" s="282"/>
      <c r="AP24" s="280">
        <f>SUM(AP12:AP23)</f>
        <v>0</v>
      </c>
      <c r="AQ24" s="281"/>
      <c r="AR24" s="281"/>
      <c r="AS24" s="281"/>
      <c r="AT24" s="282"/>
      <c r="AU24" s="161">
        <f>SUM(AU12:AU23)</f>
        <v>0</v>
      </c>
      <c r="AV24" s="162"/>
      <c r="AW24" s="162"/>
      <c r="AX24" s="162"/>
      <c r="AY24" s="163"/>
      <c r="AZ24" s="161">
        <f>SUM(AZ12:AZ23)</f>
        <v>0</v>
      </c>
      <c r="BA24" s="162"/>
      <c r="BB24" s="162"/>
      <c r="BC24" s="162"/>
      <c r="BD24" s="163"/>
      <c r="BE24" s="161">
        <f>SUM(BE12:BE23)</f>
        <v>0</v>
      </c>
      <c r="BF24" s="162"/>
      <c r="BG24" s="162"/>
      <c r="BH24" s="162"/>
      <c r="BI24" s="162"/>
      <c r="BJ24" s="163"/>
      <c r="BR24" s="50"/>
      <c r="BS24" s="52"/>
      <c r="BT24" s="52"/>
      <c r="BU24" s="53"/>
    </row>
    <row r="25" spans="2:74" ht="3.9" customHeight="1" x14ac:dyDescent="0.25">
      <c r="B25" s="20"/>
      <c r="BJ25" s="26"/>
      <c r="BR25" s="53"/>
      <c r="BS25" s="53"/>
      <c r="BT25" s="53"/>
      <c r="BU25" s="53"/>
    </row>
    <row r="26" spans="2:74" ht="15.9" customHeight="1" x14ac:dyDescent="0.25">
      <c r="B26" s="82"/>
      <c r="C26" s="243" t="s">
        <v>134</v>
      </c>
      <c r="D26" s="244"/>
      <c r="E26" s="244"/>
      <c r="F26" s="244"/>
      <c r="G26" s="244"/>
      <c r="H26" s="244"/>
      <c r="I26" s="244"/>
      <c r="J26" s="244"/>
      <c r="K26" s="244"/>
      <c r="L26" s="244"/>
      <c r="M26" s="244"/>
      <c r="N26" s="244"/>
      <c r="O26" s="244"/>
      <c r="P26" s="244"/>
      <c r="Q26" s="244"/>
      <c r="R26" s="244"/>
      <c r="S26" s="244"/>
      <c r="T26" s="244"/>
      <c r="U26" s="81" t="s">
        <v>5</v>
      </c>
      <c r="V26" s="171"/>
      <c r="W26" s="172"/>
      <c r="X26" s="172"/>
      <c r="Y26" s="172"/>
      <c r="Z26" s="172"/>
      <c r="AA26" s="172"/>
      <c r="AB26" s="172"/>
      <c r="AC26" s="172"/>
      <c r="AD26" s="172"/>
      <c r="AE26" s="172"/>
      <c r="AF26" s="290"/>
      <c r="AG26" s="291"/>
      <c r="AH26" s="243" t="s">
        <v>19</v>
      </c>
      <c r="AI26" s="244"/>
      <c r="AJ26" s="244"/>
      <c r="AK26" s="244"/>
      <c r="AL26" s="244"/>
      <c r="AM26" s="244"/>
      <c r="AN26" s="244"/>
      <c r="AO26" s="244"/>
      <c r="AP26" s="244"/>
      <c r="AQ26" s="244"/>
      <c r="AR26" s="244"/>
      <c r="AS26" s="244"/>
      <c r="AT26" s="244"/>
      <c r="AU26" s="244"/>
      <c r="AV26" s="244"/>
      <c r="AW26" s="244"/>
      <c r="AX26" s="244"/>
      <c r="AY26" s="244"/>
      <c r="AZ26" s="81" t="s">
        <v>5</v>
      </c>
      <c r="BA26" s="170">
        <f>IF(OR(AC17&lt;&gt;0,AC18&lt;&gt;0),3000,0)</f>
        <v>0</v>
      </c>
      <c r="BB26" s="177"/>
      <c r="BC26" s="177"/>
      <c r="BD26" s="177"/>
      <c r="BE26" s="177"/>
      <c r="BF26" s="177"/>
      <c r="BG26" s="177"/>
      <c r="BH26" s="177"/>
      <c r="BI26" s="177"/>
      <c r="BJ26" s="177"/>
    </row>
    <row r="27" spans="2:74" ht="3.9" customHeight="1" x14ac:dyDescent="0.25">
      <c r="B27" s="20"/>
      <c r="BJ27" s="26"/>
      <c r="BR27" s="54"/>
      <c r="BS27" s="29"/>
      <c r="BT27" s="29"/>
      <c r="BU27" s="29"/>
      <c r="BV27" s="29"/>
    </row>
    <row r="28" spans="2:74" ht="15.9" customHeight="1" x14ac:dyDescent="0.25">
      <c r="B28" s="82"/>
      <c r="C28" s="243" t="s">
        <v>133</v>
      </c>
      <c r="D28" s="244"/>
      <c r="E28" s="244"/>
      <c r="F28" s="244"/>
      <c r="G28" s="244"/>
      <c r="H28" s="244"/>
      <c r="I28" s="244"/>
      <c r="J28" s="244"/>
      <c r="K28" s="244"/>
      <c r="L28" s="244"/>
      <c r="M28" s="244"/>
      <c r="N28" s="244"/>
      <c r="O28" s="244"/>
      <c r="P28" s="244"/>
      <c r="Q28" s="244"/>
      <c r="R28" s="244"/>
      <c r="S28" s="244"/>
      <c r="T28" s="244"/>
      <c r="U28" s="81" t="s">
        <v>5</v>
      </c>
      <c r="V28" s="171"/>
      <c r="W28" s="172"/>
      <c r="X28" s="172"/>
      <c r="Y28" s="172"/>
      <c r="Z28" s="172"/>
      <c r="AA28" s="172"/>
      <c r="AB28" s="172"/>
      <c r="AC28" s="172"/>
      <c r="AD28" s="172"/>
      <c r="AE28" s="172"/>
      <c r="AF28" s="290"/>
      <c r="AG28" s="291"/>
      <c r="AH28" s="239" t="str">
        <f>IF('Basic Information'!AN12="NPS","Employer's Contribution to NPS u/s 17.(viii)","")</f>
        <v/>
      </c>
      <c r="AI28" s="240"/>
      <c r="AJ28" s="240"/>
      <c r="AK28" s="240"/>
      <c r="AL28" s="240"/>
      <c r="AM28" s="240"/>
      <c r="AN28" s="240"/>
      <c r="AO28" s="240"/>
      <c r="AP28" s="240"/>
      <c r="AQ28" s="240"/>
      <c r="AR28" s="240"/>
      <c r="AS28" s="240"/>
      <c r="AT28" s="240"/>
      <c r="AU28" s="240"/>
      <c r="AV28" s="240"/>
      <c r="AW28" s="240"/>
      <c r="AX28" s="240"/>
      <c r="AY28" s="240"/>
      <c r="AZ28" s="81" t="str">
        <f>IF('Basic Information'!AN12="NPS",":","")</f>
        <v/>
      </c>
      <c r="BA28" s="170" t="str">
        <f>IF('Basic Information'!AN12="NPS",SUM(ROUND(SUM(K12,Q12)*0.1,0),ROUND(SUM(K13,Q13)*0.1,0),ROUND(SUM(K14,Q14)*0.1,0),ROUND(SUM(K15,Q15)*0.1,0),ROUND(SUM(K16,Q16)*0.1,0),ROUND(SUM(K17,Q17)*0.1,0),ROUND(SUM(K18,Q18)*0.1,0),ROUND(SUM(K19,Q19)*0.1,0),ROUND(SUM(K20,Q20)*0.1,0),ROUND(SUM(K21,Q21)*0.1,0),ROUND(SUM(K22,Q22)*0.1,0),ROUND(SUM(K23,Q23)*0.1,0)),"")</f>
        <v/>
      </c>
      <c r="BB28" s="177"/>
      <c r="BC28" s="177"/>
      <c r="BD28" s="177"/>
      <c r="BE28" s="177"/>
      <c r="BF28" s="177"/>
      <c r="BG28" s="177"/>
      <c r="BH28" s="177"/>
      <c r="BI28" s="177"/>
      <c r="BJ28" s="177"/>
    </row>
    <row r="29" spans="2:74" ht="3.9" customHeight="1" x14ac:dyDescent="0.25">
      <c r="B29" s="20"/>
      <c r="BJ29" s="26"/>
      <c r="BR29" s="54"/>
      <c r="BS29" s="29"/>
      <c r="BT29" s="29"/>
      <c r="BU29" s="29"/>
      <c r="BV29" s="29"/>
    </row>
    <row r="30" spans="2:74" ht="15.9" customHeight="1" x14ac:dyDescent="0.25">
      <c r="B30" s="20"/>
      <c r="C30" s="243" t="s">
        <v>144</v>
      </c>
      <c r="D30" s="244"/>
      <c r="E30" s="244"/>
      <c r="F30" s="244"/>
      <c r="G30" s="244"/>
      <c r="H30" s="244"/>
      <c r="I30" s="244"/>
      <c r="J30" s="244"/>
      <c r="K30" s="244"/>
      <c r="L30" s="244"/>
      <c r="M30" s="244"/>
      <c r="N30" s="244"/>
      <c r="O30" s="244"/>
      <c r="P30" s="244"/>
      <c r="Q30" s="244"/>
      <c r="R30" s="244"/>
      <c r="S30" s="244"/>
      <c r="T30" s="244"/>
      <c r="U30" s="81" t="s">
        <v>5</v>
      </c>
      <c r="V30" s="171"/>
      <c r="W30" s="172"/>
      <c r="X30" s="172"/>
      <c r="Y30" s="172"/>
      <c r="Z30" s="172"/>
      <c r="AA30" s="172"/>
      <c r="AB30" s="172"/>
      <c r="AC30" s="172"/>
      <c r="AD30" s="172"/>
      <c r="AE30" s="172"/>
      <c r="AF30" s="29"/>
      <c r="AG30" s="92"/>
      <c r="AH30" s="288" t="str">
        <f>IF('Basic Information'!AN12="NPS","NPS Arrear - Employer's Contribution to NPS","")</f>
        <v/>
      </c>
      <c r="AI30" s="289"/>
      <c r="AJ30" s="289"/>
      <c r="AK30" s="289"/>
      <c r="AL30" s="289"/>
      <c r="AM30" s="289"/>
      <c r="AN30" s="289"/>
      <c r="AO30" s="289"/>
      <c r="AP30" s="289"/>
      <c r="AQ30" s="289"/>
      <c r="AR30" s="289"/>
      <c r="AS30" s="289"/>
      <c r="AT30" s="289"/>
      <c r="AU30" s="289"/>
      <c r="AV30" s="289"/>
      <c r="AW30" s="289"/>
      <c r="AX30" s="289"/>
      <c r="AY30" s="289"/>
      <c r="AZ30" s="81" t="str">
        <f>IF('Basic Information'!AN12="NPS",":","")</f>
        <v/>
      </c>
      <c r="BA30" s="171"/>
      <c r="BB30" s="172"/>
      <c r="BC30" s="172"/>
      <c r="BD30" s="172"/>
      <c r="BE30" s="172"/>
      <c r="BF30" s="172"/>
      <c r="BG30" s="172"/>
      <c r="BH30" s="172"/>
      <c r="BI30" s="172"/>
      <c r="BJ30" s="172"/>
    </row>
    <row r="31" spans="2:74" ht="3.9" customHeight="1" x14ac:dyDescent="0.25">
      <c r="B31" s="20"/>
      <c r="BJ31" s="26"/>
      <c r="BR31" s="54"/>
      <c r="BS31" s="29"/>
      <c r="BT31" s="29"/>
      <c r="BU31" s="29"/>
      <c r="BV31" s="29"/>
    </row>
    <row r="32" spans="2:74" ht="14.1" customHeight="1" x14ac:dyDescent="0.25">
      <c r="B32" s="341" t="s">
        <v>237</v>
      </c>
      <c r="C32" s="284"/>
      <c r="D32" s="284"/>
      <c r="E32" s="284"/>
      <c r="F32" s="284"/>
      <c r="G32" s="284"/>
      <c r="H32" s="284"/>
      <c r="I32" s="284"/>
      <c r="J32" s="284"/>
      <c r="K32" s="284"/>
      <c r="L32" s="284"/>
      <c r="M32" s="284"/>
      <c r="N32" s="284"/>
      <c r="O32" s="284"/>
      <c r="P32" s="284"/>
      <c r="Q32" s="284"/>
      <c r="R32" s="284"/>
      <c r="S32" s="284"/>
      <c r="T32" s="284"/>
      <c r="U32" s="285"/>
      <c r="V32" s="286"/>
      <c r="W32" s="286"/>
      <c r="X32" s="286"/>
      <c r="Y32" s="286"/>
      <c r="Z32" s="286"/>
      <c r="AA32" s="286"/>
      <c r="AB32" s="286"/>
      <c r="AC32" s="286"/>
      <c r="AD32" s="286"/>
      <c r="AE32" s="286"/>
      <c r="AF32" s="286"/>
      <c r="AG32" s="15"/>
      <c r="AH32" s="15"/>
      <c r="AI32" s="15"/>
      <c r="AJ32" s="37" t="s">
        <v>118</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5" ht="3.9" customHeight="1" x14ac:dyDescent="0.25">
      <c r="B33" s="20"/>
      <c r="BJ33" s="26"/>
    </row>
    <row r="34" spans="2:75" ht="18" customHeight="1" x14ac:dyDescent="0.25">
      <c r="B34" s="22"/>
      <c r="C34" s="279" t="s">
        <v>83</v>
      </c>
      <c r="D34" s="279"/>
      <c r="E34" s="279"/>
      <c r="F34" s="279"/>
      <c r="G34" s="279"/>
      <c r="H34" s="279"/>
      <c r="I34" s="279"/>
      <c r="J34" s="279"/>
      <c r="K34" s="279"/>
      <c r="L34" s="279"/>
      <c r="M34" s="81" t="s">
        <v>5</v>
      </c>
      <c r="N34" s="276"/>
      <c r="O34" s="277"/>
      <c r="P34" s="277"/>
      <c r="Q34" s="277"/>
      <c r="R34" s="277"/>
      <c r="S34" s="277"/>
      <c r="T34" s="277"/>
      <c r="U34" s="278"/>
      <c r="V34" s="17"/>
      <c r="W34" s="275" t="s">
        <v>145</v>
      </c>
      <c r="X34" s="275"/>
      <c r="Y34" s="275"/>
      <c r="Z34" s="275"/>
      <c r="AA34" s="275"/>
      <c r="AB34" s="275"/>
      <c r="AC34" s="275"/>
      <c r="AD34" s="275"/>
      <c r="AE34" s="275"/>
      <c r="AF34" s="275"/>
      <c r="AG34" s="81" t="s">
        <v>5</v>
      </c>
      <c r="AH34" s="276"/>
      <c r="AI34" s="277"/>
      <c r="AJ34" s="277"/>
      <c r="AK34" s="277"/>
      <c r="AL34" s="277"/>
      <c r="AM34" s="277"/>
      <c r="AN34" s="277"/>
      <c r="AO34" s="278"/>
      <c r="AP34" s="17"/>
      <c r="AQ34" s="275" t="s">
        <v>146</v>
      </c>
      <c r="AR34" s="275"/>
      <c r="AS34" s="275"/>
      <c r="AT34" s="275"/>
      <c r="AU34" s="275"/>
      <c r="AV34" s="275"/>
      <c r="AW34" s="275"/>
      <c r="AX34" s="275"/>
      <c r="AY34" s="275"/>
      <c r="AZ34" s="275"/>
      <c r="BA34" s="169"/>
      <c r="BB34" s="81" t="s">
        <v>5</v>
      </c>
      <c r="BC34" s="276"/>
      <c r="BD34" s="277"/>
      <c r="BE34" s="277"/>
      <c r="BF34" s="277"/>
      <c r="BG34" s="277"/>
      <c r="BH34" s="277"/>
      <c r="BI34" s="277"/>
      <c r="BJ34" s="278"/>
    </row>
    <row r="35" spans="2:75" ht="3.9" customHeight="1" x14ac:dyDescent="0.25">
      <c r="B35" s="20"/>
      <c r="BJ35" s="26"/>
    </row>
    <row r="36" spans="2:75" ht="15" customHeight="1" x14ac:dyDescent="0.25">
      <c r="B36" s="168" t="s">
        <v>238</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81" t="s">
        <v>5</v>
      </c>
      <c r="AV36" s="170">
        <f>IF('Basic Information'!AN12="NPS",SUM(AC24,V26,BA26,V28,BA28,V30,BA30,N34,AH34,BC34),SUM(AC24,V26,BA26,V28,V30,N34,AH34,BC34))</f>
        <v>0</v>
      </c>
      <c r="AW36" s="170"/>
      <c r="AX36" s="170"/>
      <c r="AY36" s="170"/>
      <c r="AZ36" s="170"/>
      <c r="BA36" s="170"/>
      <c r="BB36" s="170"/>
      <c r="BC36" s="170"/>
      <c r="BD36" s="170"/>
      <c r="BE36" s="170"/>
      <c r="BF36" s="170"/>
      <c r="BG36" s="170"/>
      <c r="BH36" s="170"/>
      <c r="BI36" s="170"/>
      <c r="BJ36" s="170"/>
    </row>
    <row r="37" spans="2:75" ht="3.9" customHeight="1" x14ac:dyDescent="0.25">
      <c r="B37" s="20"/>
      <c r="BJ37" s="26"/>
      <c r="BQ37" s="55"/>
      <c r="BR37" s="55"/>
      <c r="BS37" s="55"/>
      <c r="BT37" s="55"/>
      <c r="BU37" s="55"/>
      <c r="BV37" s="55"/>
    </row>
    <row r="38" spans="2:75" ht="14.1" customHeight="1" x14ac:dyDescent="0.25">
      <c r="B38" s="283" t="s">
        <v>219</v>
      </c>
      <c r="C38" s="284"/>
      <c r="D38" s="284"/>
      <c r="E38" s="284"/>
      <c r="F38" s="284"/>
      <c r="G38" s="284"/>
      <c r="H38" s="284"/>
      <c r="I38" s="284"/>
      <c r="J38" s="284"/>
      <c r="K38" s="284"/>
      <c r="L38" s="284"/>
      <c r="M38" s="284"/>
      <c r="N38" s="284"/>
      <c r="O38" s="284"/>
      <c r="P38" s="284"/>
      <c r="Q38" s="284"/>
      <c r="R38" s="284"/>
      <c r="S38" s="284"/>
      <c r="T38" s="284"/>
      <c r="U38" s="285"/>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7"/>
      <c r="BP38" s="340" t="str">
        <f>IF(AND(AK40&lt;&gt;0,V26=0),"Ensure that Leave Travel Concession is included in salary income.",IF(AND(AK40&lt;&gt;0,AK40&gt;V26),"The deduction for Leave Travel Allowance under Section 11(1) with Schedule-III(8) is limited to the amount included in the salary as per Section 16.",""))</f>
        <v/>
      </c>
      <c r="BQ38" s="340"/>
      <c r="BR38" s="340"/>
      <c r="BS38" s="340"/>
      <c r="BT38" s="340"/>
      <c r="BU38" s="340"/>
      <c r="BV38" s="340"/>
      <c r="BW38" s="340"/>
    </row>
    <row r="39" spans="2:75" ht="3.9" customHeight="1" x14ac:dyDescent="0.25">
      <c r="B39" s="20"/>
      <c r="BJ39" s="26"/>
      <c r="BP39" s="340"/>
      <c r="BQ39" s="340"/>
      <c r="BR39" s="340"/>
      <c r="BS39" s="340"/>
      <c r="BT39" s="340"/>
      <c r="BU39" s="340"/>
      <c r="BV39" s="340"/>
      <c r="BW39" s="340"/>
    </row>
    <row r="40" spans="2:75" ht="14.4" x14ac:dyDescent="0.25">
      <c r="B40" s="20"/>
      <c r="C40" s="236" t="s">
        <v>169</v>
      </c>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8"/>
      <c r="AK40" s="144"/>
      <c r="AL40" s="193"/>
      <c r="AM40" s="193"/>
      <c r="AN40" s="193"/>
      <c r="AO40" s="193"/>
      <c r="AP40" s="193"/>
      <c r="AQ40" s="193"/>
      <c r="AR40" s="193"/>
      <c r="AS40" s="193"/>
      <c r="AT40" s="194"/>
      <c r="AU40" s="81" t="s">
        <v>5</v>
      </c>
      <c r="AV40" s="170">
        <f>IF(AK40&lt;&gt;0,IF(AK40&lt;=V26,AK40,V26),0)</f>
        <v>0</v>
      </c>
      <c r="AW40" s="170"/>
      <c r="AX40" s="170"/>
      <c r="AY40" s="170"/>
      <c r="AZ40" s="170"/>
      <c r="BA40" s="170"/>
      <c r="BB40" s="170"/>
      <c r="BC40" s="170"/>
      <c r="BD40" s="170"/>
      <c r="BE40" s="170"/>
      <c r="BF40" s="170"/>
      <c r="BG40" s="170"/>
      <c r="BH40" s="170"/>
      <c r="BI40" s="170"/>
      <c r="BJ40" s="170"/>
      <c r="BP40" s="340"/>
      <c r="BQ40" s="340"/>
      <c r="BR40" s="340"/>
      <c r="BS40" s="340"/>
      <c r="BT40" s="340"/>
      <c r="BU40" s="340"/>
      <c r="BV40" s="340"/>
      <c r="BW40" s="340"/>
    </row>
    <row r="41" spans="2:75" ht="3.9" customHeight="1" x14ac:dyDescent="0.25">
      <c r="B41" s="20"/>
      <c r="BJ41" s="26"/>
      <c r="BP41" s="340"/>
      <c r="BQ41" s="340"/>
      <c r="BR41" s="340"/>
      <c r="BS41" s="340"/>
      <c r="BT41" s="340"/>
      <c r="BU41" s="340"/>
      <c r="BV41" s="340"/>
      <c r="BW41" s="340"/>
    </row>
    <row r="42" spans="2:75" ht="14.4" x14ac:dyDescent="0.25">
      <c r="B42" s="20"/>
      <c r="C42" s="190" t="s">
        <v>171</v>
      </c>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2"/>
      <c r="AK42" s="144"/>
      <c r="AL42" s="193"/>
      <c r="AM42" s="193"/>
      <c r="AN42" s="193"/>
      <c r="AO42" s="193"/>
      <c r="AP42" s="193"/>
      <c r="AQ42" s="193"/>
      <c r="AR42" s="193"/>
      <c r="AS42" s="193"/>
      <c r="AT42" s="194"/>
      <c r="AU42" s="81" t="s">
        <v>5</v>
      </c>
      <c r="AV42" s="170">
        <f>IF(AND(AK42&lt;&gt;0,W24&lt;&gt;0,-AV60=0,AV91=0,AV135=0,AV137=0),MIN(W24,ROUND(0.4*(K24+Q24),0),IF(AK42&gt;ROUND(0.1*(K24+Q24),0),AK42-ROUND(0.1*(K24+Q24),0),0)),0)</f>
        <v>0</v>
      </c>
      <c r="AW42" s="170"/>
      <c r="AX42" s="170"/>
      <c r="AY42" s="170"/>
      <c r="AZ42" s="170"/>
      <c r="BA42" s="170"/>
      <c r="BB42" s="170"/>
      <c r="BC42" s="170"/>
      <c r="BD42" s="170"/>
      <c r="BE42" s="170"/>
      <c r="BF42" s="170"/>
      <c r="BG42" s="170"/>
      <c r="BH42" s="170"/>
      <c r="BI42" s="170"/>
      <c r="BJ42" s="170"/>
      <c r="BP42" s="152"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52"/>
      <c r="BR42" s="152"/>
      <c r="BS42" s="152"/>
      <c r="BT42" s="152"/>
      <c r="BU42" s="152"/>
      <c r="BV42" s="152"/>
      <c r="BW42" s="152"/>
    </row>
    <row r="43" spans="2:75" ht="3.9" customHeight="1" x14ac:dyDescent="0.25">
      <c r="B43" s="20"/>
      <c r="BJ43" s="26"/>
      <c r="BP43" s="152"/>
      <c r="BQ43" s="152"/>
      <c r="BR43" s="152"/>
      <c r="BS43" s="152"/>
      <c r="BT43" s="152"/>
      <c r="BU43" s="152"/>
      <c r="BV43" s="152"/>
      <c r="BW43" s="152"/>
    </row>
    <row r="44" spans="2:75" x14ac:dyDescent="0.25">
      <c r="B44" s="168" t="s">
        <v>132</v>
      </c>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81" t="s">
        <v>5</v>
      </c>
      <c r="AV44" s="170">
        <f>IF(AV36&gt;SUM(AV40,AV42),AV36-SUM(AV40,AV42),0)</f>
        <v>0</v>
      </c>
      <c r="AW44" s="170"/>
      <c r="AX44" s="170"/>
      <c r="AY44" s="170"/>
      <c r="AZ44" s="170"/>
      <c r="BA44" s="170"/>
      <c r="BB44" s="170"/>
      <c r="BC44" s="170"/>
      <c r="BD44" s="170"/>
      <c r="BE44" s="170"/>
      <c r="BF44" s="170"/>
      <c r="BG44" s="170"/>
      <c r="BH44" s="170"/>
      <c r="BI44" s="170"/>
      <c r="BJ44" s="170"/>
      <c r="BP44" s="152"/>
      <c r="BQ44" s="152"/>
      <c r="BR44" s="152"/>
      <c r="BS44" s="152"/>
      <c r="BT44" s="152"/>
      <c r="BU44" s="152"/>
      <c r="BV44" s="152"/>
      <c r="BW44" s="152"/>
    </row>
    <row r="45" spans="2:75" ht="3.9" customHeight="1" x14ac:dyDescent="0.25">
      <c r="BP45" s="152"/>
      <c r="BQ45" s="152"/>
      <c r="BR45" s="152"/>
      <c r="BS45" s="152"/>
      <c r="BT45" s="152"/>
      <c r="BU45" s="152"/>
      <c r="BV45" s="152"/>
      <c r="BW45" s="152"/>
    </row>
    <row r="46" spans="2:75" x14ac:dyDescent="0.25">
      <c r="B46" s="229" t="s">
        <v>170</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9"/>
      <c r="AV46" s="19"/>
      <c r="AW46" s="19"/>
      <c r="AX46" s="19"/>
      <c r="AY46" s="19"/>
      <c r="AZ46" s="19"/>
      <c r="BA46" s="19"/>
      <c r="BB46" s="19"/>
      <c r="BC46" s="19"/>
      <c r="BD46" s="19"/>
      <c r="BE46" s="19"/>
      <c r="BF46" s="19"/>
      <c r="BG46" s="19"/>
      <c r="BH46" s="19"/>
      <c r="BI46" s="19"/>
      <c r="BJ46" s="45"/>
    </row>
    <row r="47" spans="2:75" ht="3.9" customHeight="1" x14ac:dyDescent="0.25">
      <c r="B47" s="20"/>
      <c r="BJ47" s="26"/>
    </row>
    <row r="48" spans="2:75" x14ac:dyDescent="0.25">
      <c r="B48" s="56"/>
      <c r="C48" s="169" t="s">
        <v>172</v>
      </c>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81" t="s">
        <v>5</v>
      </c>
      <c r="AV48" s="170">
        <f>IF(AC24&lt;&gt;0,SUM(BQ48,BS48),0)</f>
        <v>0</v>
      </c>
      <c r="AW48" s="170"/>
      <c r="AX48" s="170"/>
      <c r="AY48" s="170"/>
      <c r="AZ48" s="170"/>
      <c r="BA48" s="170"/>
      <c r="BB48" s="170"/>
      <c r="BC48" s="170"/>
      <c r="BD48" s="170"/>
      <c r="BE48" s="170"/>
      <c r="BF48" s="170"/>
      <c r="BG48" s="170"/>
      <c r="BH48" s="170"/>
      <c r="BI48" s="170"/>
      <c r="BJ48" s="170"/>
      <c r="BP48" s="43">
        <f>SUM(AC12,AC13,AC14,AC15,AC16,AC17)</f>
        <v>0</v>
      </c>
      <c r="BQ48" s="43">
        <f>IF(BP48&lt;12000,0,IF(AND(BP48&gt;=12000,BP48&lt;18000),320,IF(AND(BP48&gt;=18000,BP48&lt;30000),450,IF(AND(BP48&gt;=30000,BP48&lt;45000),600,IF(AND(BP48&gt;=45000,BP48&lt;100000),750,IF(AND(BP48&gt;=100000,BP48&lt;125000),1000,1250))))))</f>
        <v>0</v>
      </c>
      <c r="BR48" s="43">
        <f>SUM(AC18,AC19,AC20,AC21,AC22,AC23)</f>
        <v>0</v>
      </c>
      <c r="BS48" s="43">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7"/>
      <c r="C50" s="160" t="s">
        <v>173</v>
      </c>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81" t="s">
        <v>5</v>
      </c>
      <c r="AV50" s="149">
        <f>IF(AV44&lt;50000,AV44,50000)</f>
        <v>0</v>
      </c>
      <c r="AW50" s="150"/>
      <c r="AX50" s="150"/>
      <c r="AY50" s="150"/>
      <c r="AZ50" s="150"/>
      <c r="BA50" s="150"/>
      <c r="BB50" s="150"/>
      <c r="BC50" s="150"/>
      <c r="BD50" s="150"/>
      <c r="BE50" s="150"/>
      <c r="BF50" s="150"/>
      <c r="BG50" s="150"/>
      <c r="BH50" s="150"/>
      <c r="BI50" s="150"/>
      <c r="BJ50" s="151"/>
      <c r="BP50" s="43"/>
      <c r="BQ50" s="43"/>
      <c r="BR50" s="43"/>
      <c r="BS50" s="43"/>
    </row>
    <row r="51" spans="2:76" ht="3.9" customHeight="1" x14ac:dyDescent="0.25">
      <c r="B51" s="20"/>
      <c r="BJ51" s="26"/>
    </row>
    <row r="52" spans="2:76" x14ac:dyDescent="0.25">
      <c r="B52" s="168" t="s">
        <v>174</v>
      </c>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81" t="s">
        <v>5</v>
      </c>
      <c r="AV52" s="170">
        <f>AV44-SUM(AV48,AV50)</f>
        <v>0</v>
      </c>
      <c r="AW52" s="170"/>
      <c r="AX52" s="170"/>
      <c r="AY52" s="170"/>
      <c r="AZ52" s="170"/>
      <c r="BA52" s="170"/>
      <c r="BB52" s="170"/>
      <c r="BC52" s="170"/>
      <c r="BD52" s="170"/>
      <c r="BE52" s="170"/>
      <c r="BF52" s="170"/>
      <c r="BG52" s="170"/>
      <c r="BH52" s="170"/>
      <c r="BI52" s="170"/>
      <c r="BJ52" s="170"/>
    </row>
    <row r="53" spans="2:76" ht="3.9" customHeight="1" x14ac:dyDescent="0.25"/>
    <row r="54" spans="2:76" x14ac:dyDescent="0.25">
      <c r="B54" s="252" t="s">
        <v>175</v>
      </c>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15"/>
      <c r="AV54" s="15"/>
      <c r="AW54" s="15"/>
      <c r="AX54" s="15"/>
      <c r="AY54" s="15"/>
      <c r="AZ54" s="15"/>
      <c r="BA54" s="15"/>
      <c r="BB54" s="15"/>
      <c r="BC54" s="15"/>
      <c r="BD54" s="15"/>
      <c r="BE54" s="15"/>
      <c r="BF54" s="15"/>
      <c r="BG54" s="15"/>
      <c r="BH54" s="15"/>
      <c r="BI54" s="15"/>
      <c r="BJ54" s="44"/>
    </row>
    <row r="55" spans="2:76" ht="3.9" customHeight="1" x14ac:dyDescent="0.25">
      <c r="B55" s="20"/>
      <c r="BJ55" s="26"/>
    </row>
    <row r="56" spans="2:76" ht="26.1" customHeight="1" x14ac:dyDescent="0.25">
      <c r="B56" s="20"/>
      <c r="C56" s="199" t="s">
        <v>241</v>
      </c>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57"/>
      <c r="AK56" s="257"/>
      <c r="AL56" s="257"/>
      <c r="AM56" s="257"/>
      <c r="AN56" s="178"/>
      <c r="AO56" s="178"/>
      <c r="AP56" s="178"/>
      <c r="AQ56" s="178"/>
      <c r="AR56" s="179"/>
      <c r="AS56" s="254" t="s">
        <v>43</v>
      </c>
      <c r="AT56" s="255"/>
      <c r="AU56" s="255"/>
      <c r="AV56" s="255"/>
      <c r="AW56" s="255"/>
      <c r="AX56" s="255"/>
      <c r="AY56" s="256"/>
      <c r="BJ56" s="26"/>
      <c r="BL56" s="80" t="str">
        <f>IF(AND(NOT(ISBLANK(AV58)), OR(ISBLANK(AS56),AS56="SELECT")),"Please answer the question related to House Property.","")</f>
        <v/>
      </c>
    </row>
    <row r="57" spans="2:76" ht="3.9" customHeight="1" x14ac:dyDescent="0.25">
      <c r="B57" s="20"/>
      <c r="BJ57" s="26"/>
    </row>
    <row r="58" spans="2:76" ht="13.8" customHeight="1" x14ac:dyDescent="0.25">
      <c r="B58" s="20"/>
      <c r="C58" s="169" t="s">
        <v>176</v>
      </c>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81" t="s">
        <v>5</v>
      </c>
      <c r="AV58" s="171"/>
      <c r="AW58" s="171"/>
      <c r="AX58" s="171"/>
      <c r="AY58" s="171"/>
      <c r="AZ58" s="171"/>
      <c r="BA58" s="171"/>
      <c r="BB58" s="171"/>
      <c r="BC58" s="171"/>
      <c r="BD58" s="171"/>
      <c r="BE58" s="171"/>
      <c r="BF58" s="171"/>
      <c r="BG58" s="171"/>
      <c r="BH58" s="171"/>
      <c r="BI58" s="171"/>
      <c r="BJ58" s="171"/>
      <c r="BP58" s="152"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52"/>
      <c r="BR58" s="152"/>
      <c r="BS58" s="152"/>
      <c r="BT58" s="152"/>
      <c r="BU58" s="152"/>
      <c r="BV58" s="152"/>
      <c r="BW58" s="152"/>
      <c r="BX58" s="152"/>
    </row>
    <row r="59" spans="2:76" ht="3.9" customHeight="1" x14ac:dyDescent="0.25">
      <c r="B59" s="20"/>
      <c r="BJ59" s="26"/>
      <c r="BP59" s="152"/>
      <c r="BQ59" s="152"/>
      <c r="BR59" s="152"/>
      <c r="BS59" s="152"/>
      <c r="BT59" s="152"/>
      <c r="BU59" s="152"/>
      <c r="BV59" s="152"/>
      <c r="BW59" s="152"/>
      <c r="BX59" s="152"/>
    </row>
    <row r="60" spans="2:76" x14ac:dyDescent="0.25">
      <c r="B60" s="22"/>
      <c r="C60" s="168" t="s">
        <v>84</v>
      </c>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81" t="s">
        <v>5</v>
      </c>
      <c r="AV60" s="170">
        <f>IF(OR(AS56="Select",ISBLANK(AS56)),0,IF(AS56="Yes",IF(AV58&lt;=200000,-AV58,-200000),IF(AV58&lt;=30000,-AV58,-30000)))</f>
        <v>0</v>
      </c>
      <c r="AW60" s="170"/>
      <c r="AX60" s="170"/>
      <c r="AY60" s="170"/>
      <c r="AZ60" s="170"/>
      <c r="BA60" s="170"/>
      <c r="BB60" s="170"/>
      <c r="BC60" s="170"/>
      <c r="BD60" s="170"/>
      <c r="BE60" s="170"/>
      <c r="BF60" s="170"/>
      <c r="BG60" s="170"/>
      <c r="BH60" s="170"/>
      <c r="BI60" s="170"/>
      <c r="BJ60" s="170"/>
      <c r="BP60" s="152"/>
      <c r="BQ60" s="152"/>
      <c r="BR60" s="152"/>
      <c r="BS60" s="152"/>
      <c r="BT60" s="152"/>
      <c r="BU60" s="152"/>
      <c r="BV60" s="152"/>
      <c r="BW60" s="152"/>
      <c r="BX60" s="152"/>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252" t="s">
        <v>178</v>
      </c>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15"/>
      <c r="AV62" s="15"/>
      <c r="AW62" s="15"/>
      <c r="AX62" s="15"/>
      <c r="AY62" s="15"/>
      <c r="AZ62" s="15"/>
      <c r="BA62" s="15"/>
      <c r="BB62" s="15"/>
      <c r="BC62" s="15"/>
      <c r="BD62" s="15"/>
      <c r="BE62" s="15"/>
      <c r="BF62" s="15"/>
      <c r="BG62" s="15"/>
      <c r="BH62" s="15"/>
      <c r="BI62" s="15"/>
      <c r="BJ62" s="44"/>
    </row>
    <row r="63" spans="2:76" ht="3.9" customHeight="1" x14ac:dyDescent="0.25">
      <c r="B63" s="20"/>
      <c r="BJ63" s="26"/>
    </row>
    <row r="64" spans="2:76" x14ac:dyDescent="0.25">
      <c r="B64" s="20"/>
      <c r="C64" s="169" t="s">
        <v>119</v>
      </c>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81" t="s">
        <v>5</v>
      </c>
      <c r="AV64" s="171"/>
      <c r="AW64" s="171"/>
      <c r="AX64" s="171"/>
      <c r="AY64" s="171"/>
      <c r="AZ64" s="171"/>
      <c r="BA64" s="171"/>
      <c r="BB64" s="171"/>
      <c r="BC64" s="171"/>
      <c r="BD64" s="171"/>
      <c r="BE64" s="171"/>
      <c r="BF64" s="171"/>
      <c r="BG64" s="171"/>
      <c r="BH64" s="171"/>
      <c r="BI64" s="171"/>
      <c r="BJ64" s="171"/>
    </row>
    <row r="65" spans="2:75" ht="3.9" customHeight="1" x14ac:dyDescent="0.25">
      <c r="B65" s="20"/>
      <c r="BJ65" s="26"/>
    </row>
    <row r="66" spans="2:75" x14ac:dyDescent="0.25">
      <c r="B66" s="20"/>
      <c r="C66" s="169" t="s">
        <v>177</v>
      </c>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81" t="s">
        <v>5</v>
      </c>
      <c r="AV66" s="171"/>
      <c r="AW66" s="171"/>
      <c r="AX66" s="171"/>
      <c r="AY66" s="171"/>
      <c r="AZ66" s="171"/>
      <c r="BA66" s="171"/>
      <c r="BB66" s="171"/>
      <c r="BC66" s="171"/>
      <c r="BD66" s="171"/>
      <c r="BE66" s="171"/>
      <c r="BF66" s="171"/>
      <c r="BG66" s="171"/>
      <c r="BH66" s="171"/>
      <c r="BI66" s="171"/>
      <c r="BJ66" s="171"/>
    </row>
    <row r="67" spans="2:75" ht="3.9" customHeight="1" x14ac:dyDescent="0.25">
      <c r="B67" s="20"/>
      <c r="BJ67" s="26"/>
    </row>
    <row r="68" spans="2:75" x14ac:dyDescent="0.25">
      <c r="B68" s="20"/>
      <c r="C68" s="169" t="s">
        <v>85</v>
      </c>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81" t="s">
        <v>5</v>
      </c>
      <c r="AV68" s="171"/>
      <c r="AW68" s="171"/>
      <c r="AX68" s="171"/>
      <c r="AY68" s="171"/>
      <c r="AZ68" s="171"/>
      <c r="BA68" s="171"/>
      <c r="BB68" s="171"/>
      <c r="BC68" s="171"/>
      <c r="BD68" s="171"/>
      <c r="BE68" s="171"/>
      <c r="BF68" s="171"/>
      <c r="BG68" s="171"/>
      <c r="BH68" s="171"/>
      <c r="BI68" s="171"/>
      <c r="BJ68" s="171"/>
    </row>
    <row r="69" spans="2:75" ht="3.9" customHeight="1" x14ac:dyDescent="0.25">
      <c r="B69" s="20"/>
      <c r="BJ69" s="26"/>
    </row>
    <row r="70" spans="2:75" x14ac:dyDescent="0.25">
      <c r="B70" s="22"/>
      <c r="C70" s="169" t="s">
        <v>86</v>
      </c>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81" t="s">
        <v>5</v>
      </c>
      <c r="AV70" s="171"/>
      <c r="AW70" s="171"/>
      <c r="AX70" s="171"/>
      <c r="AY70" s="171"/>
      <c r="AZ70" s="171"/>
      <c r="BA70" s="171"/>
      <c r="BB70" s="171"/>
      <c r="BC70" s="171"/>
      <c r="BD70" s="171"/>
      <c r="BE70" s="171"/>
      <c r="BF70" s="171"/>
      <c r="BG70" s="171"/>
      <c r="BH70" s="171"/>
      <c r="BI70" s="171"/>
      <c r="BJ70" s="171"/>
    </row>
    <row r="71" spans="2:75" ht="3.9" customHeight="1" x14ac:dyDescent="0.25"/>
    <row r="72" spans="2:75" ht="18" customHeight="1" x14ac:dyDescent="0.25">
      <c r="B72" s="168" t="s">
        <v>211</v>
      </c>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81" t="s">
        <v>5</v>
      </c>
      <c r="AV72" s="170">
        <f>IF(SIGN(SUM(BP72,AV60))&lt;&gt;-1,SUM(BP72,AV60),0)</f>
        <v>0</v>
      </c>
      <c r="AW72" s="170"/>
      <c r="AX72" s="170"/>
      <c r="AY72" s="170"/>
      <c r="AZ72" s="170"/>
      <c r="BA72" s="170"/>
      <c r="BB72" s="170"/>
      <c r="BC72" s="170"/>
      <c r="BD72" s="170"/>
      <c r="BE72" s="170"/>
      <c r="BF72" s="170"/>
      <c r="BG72" s="170"/>
      <c r="BH72" s="170"/>
      <c r="BI72" s="170"/>
      <c r="BJ72" s="170"/>
      <c r="BP72" s="43">
        <f>SUM(AV52,AV64,AV66,AV68,AV70)</f>
        <v>0</v>
      </c>
    </row>
    <row r="73" spans="2:75" ht="3.9" customHeight="1" x14ac:dyDescent="0.25"/>
    <row r="74" spans="2:75" ht="3.9" customHeight="1" x14ac:dyDescent="0.25"/>
    <row r="75" spans="2:75" ht="30" customHeight="1" x14ac:dyDescent="0.25">
      <c r="B75" s="209" t="s">
        <v>179</v>
      </c>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06" t="s">
        <v>87</v>
      </c>
      <c r="AK75" s="183"/>
      <c r="AL75" s="183"/>
      <c r="AM75" s="183"/>
      <c r="AN75" s="183"/>
      <c r="AO75" s="183"/>
      <c r="AP75" s="183"/>
      <c r="AQ75" s="183"/>
      <c r="AR75" s="183"/>
      <c r="AS75" s="183"/>
      <c r="AT75" s="183"/>
      <c r="AU75" s="183"/>
      <c r="AV75" s="206" t="s">
        <v>88</v>
      </c>
      <c r="AW75" s="183"/>
      <c r="AX75" s="183"/>
      <c r="AY75" s="183"/>
      <c r="AZ75" s="183"/>
      <c r="BA75" s="183"/>
      <c r="BB75" s="183"/>
      <c r="BC75" s="183"/>
      <c r="BD75" s="183"/>
      <c r="BE75" s="183"/>
      <c r="BF75" s="183"/>
      <c r="BG75" s="183"/>
      <c r="BH75" s="183"/>
      <c r="BI75" s="183"/>
      <c r="BJ75" s="183"/>
    </row>
    <row r="76" spans="2:75" ht="5.0999999999999996" customHeight="1" x14ac:dyDescent="0.25">
      <c r="B76" s="20"/>
      <c r="BJ76" s="26"/>
      <c r="BP76" s="152" t="str">
        <f>IF(SUM(AV77,AV79)&gt;500000,"As per Schedule II, interest income accrued during the tax year is taxable if contributions made on or after April 1, 2021, exceed ₹ 5,00,000 in a fund without employer contribution or ₹ 2,50,000 in other cases. ","")</f>
        <v/>
      </c>
      <c r="BQ76" s="153"/>
      <c r="BR76" s="153"/>
      <c r="BS76" s="153"/>
      <c r="BT76" s="153"/>
      <c r="BU76" s="153"/>
      <c r="BV76" s="153"/>
      <c r="BW76" s="153"/>
    </row>
    <row r="77" spans="2:75" ht="15" customHeight="1" x14ac:dyDescent="0.25">
      <c r="B77" s="20"/>
      <c r="C77" s="169" t="s">
        <v>181</v>
      </c>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81" t="s">
        <v>5</v>
      </c>
      <c r="AJ77" s="205">
        <f>BE24</f>
        <v>0</v>
      </c>
      <c r="AK77" s="205"/>
      <c r="AL77" s="205"/>
      <c r="AM77" s="205"/>
      <c r="AN77" s="205"/>
      <c r="AO77" s="205"/>
      <c r="AP77" s="205"/>
      <c r="AQ77" s="205"/>
      <c r="AR77" s="205"/>
      <c r="AS77" s="205"/>
      <c r="AT77" s="183"/>
      <c r="AU77" s="183"/>
      <c r="AV77" s="170">
        <f>AJ77</f>
        <v>0</v>
      </c>
      <c r="AW77" s="170"/>
      <c r="AX77" s="170"/>
      <c r="AY77" s="170"/>
      <c r="AZ77" s="170"/>
      <c r="BA77" s="170"/>
      <c r="BB77" s="170"/>
      <c r="BC77" s="170"/>
      <c r="BD77" s="170"/>
      <c r="BE77" s="170"/>
      <c r="BF77" s="170"/>
      <c r="BG77" s="170"/>
      <c r="BH77" s="170"/>
      <c r="BI77" s="170"/>
      <c r="BJ77" s="170"/>
      <c r="BP77" s="153"/>
      <c r="BQ77" s="153"/>
      <c r="BR77" s="153"/>
      <c r="BS77" s="153"/>
      <c r="BT77" s="153"/>
      <c r="BU77" s="153"/>
      <c r="BV77" s="153"/>
      <c r="BW77" s="153"/>
    </row>
    <row r="78" spans="2:75" ht="5.0999999999999996" customHeight="1" x14ac:dyDescent="0.25">
      <c r="B78" s="20"/>
      <c r="C78" s="20"/>
      <c r="BJ78" s="26"/>
      <c r="BP78" s="153"/>
      <c r="BQ78" s="153"/>
      <c r="BR78" s="153"/>
      <c r="BS78" s="153"/>
      <c r="BT78" s="153"/>
      <c r="BU78" s="153"/>
      <c r="BV78" s="153"/>
      <c r="BW78" s="153"/>
    </row>
    <row r="79" spans="2:75" x14ac:dyDescent="0.25">
      <c r="B79" s="20"/>
      <c r="C79" s="169" t="s">
        <v>182</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81" t="s">
        <v>5</v>
      </c>
      <c r="AJ79" s="205">
        <f>N34</f>
        <v>0</v>
      </c>
      <c r="AK79" s="205"/>
      <c r="AL79" s="205"/>
      <c r="AM79" s="205"/>
      <c r="AN79" s="205"/>
      <c r="AO79" s="205"/>
      <c r="AP79" s="205"/>
      <c r="AQ79" s="205"/>
      <c r="AR79" s="205"/>
      <c r="AS79" s="205"/>
      <c r="AT79" s="183"/>
      <c r="AU79" s="183"/>
      <c r="AV79" s="170">
        <f>AJ79</f>
        <v>0</v>
      </c>
      <c r="AW79" s="170"/>
      <c r="AX79" s="170"/>
      <c r="AY79" s="170"/>
      <c r="AZ79" s="170"/>
      <c r="BA79" s="170"/>
      <c r="BB79" s="170"/>
      <c r="BC79" s="170"/>
      <c r="BD79" s="170"/>
      <c r="BE79" s="170"/>
      <c r="BF79" s="170"/>
      <c r="BG79" s="170"/>
      <c r="BH79" s="170"/>
      <c r="BI79" s="170"/>
      <c r="BJ79" s="170"/>
      <c r="BP79" s="153"/>
      <c r="BQ79" s="153"/>
      <c r="BR79" s="153"/>
      <c r="BS79" s="153"/>
      <c r="BT79" s="153"/>
      <c r="BU79" s="153"/>
      <c r="BV79" s="153"/>
      <c r="BW79" s="153"/>
    </row>
    <row r="80" spans="2:75" ht="5.0999999999999996" customHeight="1" x14ac:dyDescent="0.25">
      <c r="B80" s="20"/>
      <c r="C80" s="20"/>
      <c r="BJ80" s="26"/>
      <c r="BP80" s="153"/>
      <c r="BQ80" s="153"/>
      <c r="BR80" s="153"/>
      <c r="BS80" s="153"/>
      <c r="BT80" s="153"/>
      <c r="BU80" s="153"/>
      <c r="BV80" s="153"/>
      <c r="BW80" s="153"/>
    </row>
    <row r="81" spans="2:75" x14ac:dyDescent="0.25">
      <c r="B81" s="20"/>
      <c r="C81" s="169" t="s">
        <v>183</v>
      </c>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81" t="s">
        <v>5</v>
      </c>
      <c r="AJ81" s="205">
        <f>AU24</f>
        <v>0</v>
      </c>
      <c r="AK81" s="205"/>
      <c r="AL81" s="205"/>
      <c r="AM81" s="205"/>
      <c r="AN81" s="205"/>
      <c r="AO81" s="205"/>
      <c r="AP81" s="205"/>
      <c r="AQ81" s="205"/>
      <c r="AR81" s="205"/>
      <c r="AS81" s="205"/>
      <c r="AT81" s="183"/>
      <c r="AU81" s="183"/>
      <c r="AV81" s="170">
        <f>AJ81</f>
        <v>0</v>
      </c>
      <c r="AW81" s="170"/>
      <c r="AX81" s="170"/>
      <c r="AY81" s="170"/>
      <c r="AZ81" s="170"/>
      <c r="BA81" s="170"/>
      <c r="BB81" s="170"/>
      <c r="BC81" s="170"/>
      <c r="BD81" s="170"/>
      <c r="BE81" s="170"/>
      <c r="BF81" s="170"/>
      <c r="BG81" s="170"/>
      <c r="BH81" s="170"/>
      <c r="BI81" s="170"/>
      <c r="BJ81" s="170"/>
      <c r="BP81" s="132"/>
      <c r="BQ81" s="132"/>
      <c r="BR81" s="132"/>
      <c r="BS81" s="132"/>
      <c r="BT81" s="132"/>
      <c r="BU81" s="132"/>
      <c r="BV81" s="132"/>
      <c r="BW81" s="132"/>
    </row>
    <row r="82" spans="2:75" ht="5.0999999999999996" customHeight="1" x14ac:dyDescent="0.25">
      <c r="B82" s="20"/>
      <c r="C82" s="20"/>
      <c r="BJ82" s="26"/>
    </row>
    <row r="83" spans="2:75" x14ac:dyDescent="0.25">
      <c r="B83" s="20"/>
      <c r="C83" s="169" t="s">
        <v>184</v>
      </c>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81" t="s">
        <v>5</v>
      </c>
      <c r="AJ83" s="205">
        <f>AZ24</f>
        <v>0</v>
      </c>
      <c r="AK83" s="205"/>
      <c r="AL83" s="205"/>
      <c r="AM83" s="205"/>
      <c r="AN83" s="205"/>
      <c r="AO83" s="205"/>
      <c r="AP83" s="205"/>
      <c r="AQ83" s="205"/>
      <c r="AR83" s="205"/>
      <c r="AS83" s="205"/>
      <c r="AT83" s="183"/>
      <c r="AU83" s="183"/>
      <c r="AV83" s="170">
        <f>AJ83</f>
        <v>0</v>
      </c>
      <c r="AW83" s="170"/>
      <c r="AX83" s="170"/>
      <c r="AY83" s="170"/>
      <c r="AZ83" s="170"/>
      <c r="BA83" s="170"/>
      <c r="BB83" s="170"/>
      <c r="BC83" s="170"/>
      <c r="BD83" s="170"/>
      <c r="BE83" s="170"/>
      <c r="BF83" s="170"/>
      <c r="BG83" s="170"/>
      <c r="BH83" s="170"/>
      <c r="BI83" s="170"/>
      <c r="BJ83" s="170"/>
    </row>
    <row r="84" spans="2:75" ht="5.0999999999999996" customHeight="1" x14ac:dyDescent="0.25">
      <c r="B84" s="20"/>
      <c r="C84" s="20"/>
      <c r="BJ84" s="26"/>
    </row>
    <row r="85" spans="2:75" x14ac:dyDescent="0.25">
      <c r="B85" s="20"/>
      <c r="C85" s="169" t="s">
        <v>185</v>
      </c>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81" t="s">
        <v>5</v>
      </c>
      <c r="AJ85" s="205">
        <f>IF(AC24&lt;&gt;0,1000,0)</f>
        <v>0</v>
      </c>
      <c r="AK85" s="205"/>
      <c r="AL85" s="205"/>
      <c r="AM85" s="205"/>
      <c r="AN85" s="205"/>
      <c r="AO85" s="205"/>
      <c r="AP85" s="205"/>
      <c r="AQ85" s="205"/>
      <c r="AR85" s="205"/>
      <c r="AS85" s="205"/>
      <c r="AT85" s="183"/>
      <c r="AU85" s="183"/>
      <c r="AV85" s="170">
        <f>AJ85</f>
        <v>0</v>
      </c>
      <c r="AW85" s="170"/>
      <c r="AX85" s="170"/>
      <c r="AY85" s="170"/>
      <c r="AZ85" s="170"/>
      <c r="BA85" s="170"/>
      <c r="BB85" s="170"/>
      <c r="BC85" s="170"/>
      <c r="BD85" s="170"/>
      <c r="BE85" s="170"/>
      <c r="BF85" s="170"/>
      <c r="BG85" s="170"/>
      <c r="BH85" s="170"/>
      <c r="BI85" s="170"/>
      <c r="BJ85" s="170"/>
    </row>
    <row r="86" spans="2:75" ht="5.0999999999999996" customHeight="1" x14ac:dyDescent="0.25">
      <c r="B86" s="20"/>
      <c r="C86" s="20"/>
      <c r="BJ86" s="26"/>
    </row>
    <row r="87" spans="2:75" x14ac:dyDescent="0.25">
      <c r="B87" s="20"/>
      <c r="C87" s="160" t="s">
        <v>186</v>
      </c>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9"/>
      <c r="AI87" s="81" t="s">
        <v>5</v>
      </c>
      <c r="AJ87" s="180">
        <f>AJ24</f>
        <v>0</v>
      </c>
      <c r="AK87" s="181"/>
      <c r="AL87" s="181"/>
      <c r="AM87" s="181"/>
      <c r="AN87" s="181"/>
      <c r="AO87" s="181"/>
      <c r="AP87" s="181"/>
      <c r="AQ87" s="181"/>
      <c r="AR87" s="181"/>
      <c r="AS87" s="182"/>
      <c r="AT87" s="183"/>
      <c r="AU87" s="183"/>
      <c r="AV87" s="149">
        <f>AJ87</f>
        <v>0</v>
      </c>
      <c r="AW87" s="150"/>
      <c r="AX87" s="150"/>
      <c r="AY87" s="150"/>
      <c r="AZ87" s="150"/>
      <c r="BA87" s="150"/>
      <c r="BB87" s="150"/>
      <c r="BC87" s="150"/>
      <c r="BD87" s="150"/>
      <c r="BE87" s="150"/>
      <c r="BF87" s="150"/>
      <c r="BG87" s="150"/>
      <c r="BH87" s="150"/>
      <c r="BI87" s="150"/>
      <c r="BJ87" s="151"/>
    </row>
    <row r="88" spans="2:75" ht="5.0999999999999996" customHeight="1" x14ac:dyDescent="0.25">
      <c r="B88" s="20"/>
      <c r="C88" s="20"/>
      <c r="BJ88" s="26"/>
    </row>
    <row r="89" spans="2:75" x14ac:dyDescent="0.25">
      <c r="B89" s="20"/>
      <c r="C89" s="160" t="s">
        <v>187</v>
      </c>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9"/>
      <c r="AI89" s="81" t="s">
        <v>5</v>
      </c>
      <c r="AJ89" s="144"/>
      <c r="AK89" s="145"/>
      <c r="AL89" s="145"/>
      <c r="AM89" s="145"/>
      <c r="AN89" s="145"/>
      <c r="AO89" s="145"/>
      <c r="AP89" s="145"/>
      <c r="AQ89" s="145"/>
      <c r="AR89" s="145"/>
      <c r="AS89" s="146"/>
      <c r="AT89" s="183"/>
      <c r="AU89" s="183"/>
      <c r="AV89" s="149">
        <f>AJ89</f>
        <v>0</v>
      </c>
      <c r="AW89" s="150"/>
      <c r="AX89" s="150"/>
      <c r="AY89" s="150"/>
      <c r="AZ89" s="150"/>
      <c r="BA89" s="150"/>
      <c r="BB89" s="150"/>
      <c r="BC89" s="150"/>
      <c r="BD89" s="150"/>
      <c r="BE89" s="150"/>
      <c r="BF89" s="150"/>
      <c r="BG89" s="150"/>
      <c r="BH89" s="150"/>
      <c r="BI89" s="150"/>
      <c r="BJ89" s="151"/>
    </row>
    <row r="90" spans="2:75" ht="5.0999999999999996" customHeight="1" x14ac:dyDescent="0.25">
      <c r="B90" s="20"/>
      <c r="C90" s="20"/>
      <c r="BJ90" s="26"/>
    </row>
    <row r="91" spans="2:75" x14ac:dyDescent="0.25">
      <c r="B91" s="20"/>
      <c r="C91" s="160" t="s">
        <v>188</v>
      </c>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9"/>
      <c r="AI91" s="81" t="s">
        <v>5</v>
      </c>
      <c r="AJ91" s="144"/>
      <c r="AK91" s="145"/>
      <c r="AL91" s="145"/>
      <c r="AM91" s="145"/>
      <c r="AN91" s="145"/>
      <c r="AO91" s="145"/>
      <c r="AP91" s="145"/>
      <c r="AQ91" s="145"/>
      <c r="AR91" s="145"/>
      <c r="AS91" s="146"/>
      <c r="AT91" s="183"/>
      <c r="AU91" s="183"/>
      <c r="AV91" s="149">
        <f>AJ91</f>
        <v>0</v>
      </c>
      <c r="AW91" s="150"/>
      <c r="AX91" s="150"/>
      <c r="AY91" s="150"/>
      <c r="AZ91" s="150"/>
      <c r="BA91" s="150"/>
      <c r="BB91" s="150"/>
      <c r="BC91" s="150"/>
      <c r="BD91" s="150"/>
      <c r="BE91" s="150"/>
      <c r="BF91" s="150"/>
      <c r="BG91" s="150"/>
      <c r="BH91" s="150"/>
      <c r="BI91" s="150"/>
      <c r="BJ91" s="151"/>
    </row>
    <row r="92" spans="2:75" ht="5.0999999999999996" customHeight="1" x14ac:dyDescent="0.25">
      <c r="B92" s="20"/>
      <c r="C92" s="20"/>
      <c r="BJ92" s="26"/>
    </row>
    <row r="93" spans="2:75" x14ac:dyDescent="0.25">
      <c r="B93" s="20"/>
      <c r="C93" s="160" t="s">
        <v>189</v>
      </c>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9"/>
      <c r="AI93" s="81" t="s">
        <v>5</v>
      </c>
      <c r="AJ93" s="144"/>
      <c r="AK93" s="145"/>
      <c r="AL93" s="145"/>
      <c r="AM93" s="145"/>
      <c r="AN93" s="145"/>
      <c r="AO93" s="145"/>
      <c r="AP93" s="145"/>
      <c r="AQ93" s="145"/>
      <c r="AR93" s="145"/>
      <c r="AS93" s="146"/>
      <c r="AT93" s="183"/>
      <c r="AU93" s="183"/>
      <c r="AV93" s="149">
        <f>AJ93</f>
        <v>0</v>
      </c>
      <c r="AW93" s="150"/>
      <c r="AX93" s="150"/>
      <c r="AY93" s="150"/>
      <c r="AZ93" s="150"/>
      <c r="BA93" s="150"/>
      <c r="BB93" s="150"/>
      <c r="BC93" s="150"/>
      <c r="BD93" s="150"/>
      <c r="BE93" s="150"/>
      <c r="BF93" s="150"/>
      <c r="BG93" s="150"/>
      <c r="BH93" s="150"/>
      <c r="BI93" s="150"/>
      <c r="BJ93" s="151"/>
    </row>
    <row r="94" spans="2:75" ht="5.0999999999999996" customHeight="1" x14ac:dyDescent="0.25">
      <c r="B94" s="20"/>
      <c r="C94" s="20"/>
      <c r="BJ94" s="26"/>
    </row>
    <row r="95" spans="2:75" x14ac:dyDescent="0.25">
      <c r="B95" s="20"/>
      <c r="C95" s="213" t="s">
        <v>89</v>
      </c>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5"/>
      <c r="AI95" s="81" t="s">
        <v>5</v>
      </c>
      <c r="AJ95" s="144"/>
      <c r="AK95" s="145"/>
      <c r="AL95" s="145"/>
      <c r="AM95" s="145"/>
      <c r="AN95" s="145"/>
      <c r="AO95" s="145"/>
      <c r="AP95" s="145"/>
      <c r="AQ95" s="145"/>
      <c r="AR95" s="145"/>
      <c r="AS95" s="146"/>
      <c r="AT95" s="183"/>
      <c r="AU95" s="183"/>
      <c r="AV95" s="149">
        <f>AJ95</f>
        <v>0</v>
      </c>
      <c r="AW95" s="150"/>
      <c r="AX95" s="150"/>
      <c r="AY95" s="150"/>
      <c r="AZ95" s="150"/>
      <c r="BA95" s="150"/>
      <c r="BB95" s="150"/>
      <c r="BC95" s="150"/>
      <c r="BD95" s="150"/>
      <c r="BE95" s="150"/>
      <c r="BF95" s="150"/>
      <c r="BG95" s="150"/>
      <c r="BH95" s="150"/>
      <c r="BI95" s="150"/>
      <c r="BJ95" s="151"/>
    </row>
    <row r="96" spans="2:75" ht="5.0999999999999996" customHeight="1" x14ac:dyDescent="0.25">
      <c r="B96" s="20"/>
      <c r="C96" s="20"/>
      <c r="BJ96" s="26"/>
    </row>
    <row r="97" spans="2:74" x14ac:dyDescent="0.25">
      <c r="B97" s="20"/>
      <c r="C97" s="213" t="s">
        <v>89</v>
      </c>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5"/>
      <c r="AI97" s="81" t="s">
        <v>5</v>
      </c>
      <c r="AJ97" s="144"/>
      <c r="AK97" s="145"/>
      <c r="AL97" s="145"/>
      <c r="AM97" s="145"/>
      <c r="AN97" s="145"/>
      <c r="AO97" s="145"/>
      <c r="AP97" s="145"/>
      <c r="AQ97" s="145"/>
      <c r="AR97" s="145"/>
      <c r="AS97" s="146"/>
      <c r="AT97" s="183"/>
      <c r="AU97" s="183"/>
      <c r="AV97" s="149">
        <f>AJ97</f>
        <v>0</v>
      </c>
      <c r="AW97" s="150"/>
      <c r="AX97" s="150"/>
      <c r="AY97" s="150"/>
      <c r="AZ97" s="150"/>
      <c r="BA97" s="150"/>
      <c r="BB97" s="150"/>
      <c r="BC97" s="150"/>
      <c r="BD97" s="150"/>
      <c r="BE97" s="150"/>
      <c r="BF97" s="150"/>
      <c r="BG97" s="150"/>
      <c r="BH97" s="150"/>
      <c r="BI97" s="150"/>
      <c r="BJ97" s="151"/>
    </row>
    <row r="98" spans="2:74" ht="5.0999999999999996" customHeight="1" x14ac:dyDescent="0.25">
      <c r="B98" s="20"/>
      <c r="C98" s="20"/>
      <c r="BJ98" s="26"/>
    </row>
    <row r="99" spans="2:74" x14ac:dyDescent="0.25">
      <c r="B99" s="20"/>
      <c r="C99" s="160" t="s">
        <v>212</v>
      </c>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9"/>
      <c r="AI99" s="81" t="s">
        <v>5</v>
      </c>
      <c r="AJ99" s="180">
        <f>SUM(AJ77,AJ79,AJ81,AJ83,AJ85,AJ87,AJ89,AJ91,AJ93,AJ95,AJ97)</f>
        <v>0</v>
      </c>
      <c r="AK99" s="181"/>
      <c r="AL99" s="181"/>
      <c r="AM99" s="181"/>
      <c r="AN99" s="181"/>
      <c r="AO99" s="181"/>
      <c r="AP99" s="181"/>
      <c r="AQ99" s="181"/>
      <c r="AR99" s="181"/>
      <c r="AS99" s="182"/>
      <c r="AT99" s="183"/>
      <c r="AU99" s="183"/>
      <c r="AV99" s="149">
        <f>IF(AJ99&lt;=150000, AJ99,150000)</f>
        <v>0</v>
      </c>
      <c r="AW99" s="150"/>
      <c r="AX99" s="150"/>
      <c r="AY99" s="150"/>
      <c r="AZ99" s="150"/>
      <c r="BA99" s="150"/>
      <c r="BB99" s="150"/>
      <c r="BC99" s="150"/>
      <c r="BD99" s="150"/>
      <c r="BE99" s="150"/>
      <c r="BF99" s="150"/>
      <c r="BG99" s="150"/>
      <c r="BH99" s="150"/>
      <c r="BI99" s="150"/>
      <c r="BJ99" s="151"/>
      <c r="BL99" s="152" t="str">
        <f>IF(SUM(AJ99,AJ101,AJ103)&gt;150000,"The aggregate amount of deductions under section 123, 124 (5) and 124 (10) shall not exceed ₹ 150,000.","")</f>
        <v/>
      </c>
      <c r="BM99" s="152"/>
      <c r="BN99" s="152"/>
      <c r="BO99" s="152"/>
      <c r="BP99" s="152"/>
      <c r="BQ99" s="152"/>
      <c r="BR99" s="152"/>
      <c r="BS99" s="152"/>
      <c r="BT99" s="152"/>
      <c r="BU99" s="152"/>
      <c r="BV99" s="152"/>
    </row>
    <row r="100" spans="2:74" ht="5.0999999999999996" customHeight="1" x14ac:dyDescent="0.25">
      <c r="B100" s="20"/>
      <c r="C100" s="20"/>
      <c r="BJ100" s="26"/>
      <c r="BL100" s="152"/>
      <c r="BM100" s="152"/>
      <c r="BN100" s="152"/>
      <c r="BO100" s="152"/>
      <c r="BP100" s="152"/>
      <c r="BQ100" s="152"/>
      <c r="BR100" s="152"/>
      <c r="BS100" s="152"/>
      <c r="BT100" s="152"/>
      <c r="BU100" s="152"/>
      <c r="BV100" s="152"/>
    </row>
    <row r="101" spans="2:74" ht="25.95" customHeight="1" x14ac:dyDescent="0.25">
      <c r="B101" s="20"/>
      <c r="C101" s="141" t="s">
        <v>191</v>
      </c>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3"/>
      <c r="AI101" s="81" t="s">
        <v>5</v>
      </c>
      <c r="AJ101" s="144"/>
      <c r="AK101" s="145"/>
      <c r="AL101" s="145"/>
      <c r="AM101" s="145"/>
      <c r="AN101" s="145"/>
      <c r="AO101" s="145"/>
      <c r="AP101" s="145"/>
      <c r="AQ101" s="145"/>
      <c r="AR101" s="145"/>
      <c r="AS101" s="146"/>
      <c r="AT101" s="183"/>
      <c r="AU101" s="183"/>
      <c r="AV101" s="149">
        <f>IF(AV99&lt;150000,IF((AV99+AJ101)&lt;=150000,AJ101,(150000-AV99)),0)</f>
        <v>0</v>
      </c>
      <c r="AW101" s="150"/>
      <c r="AX101" s="150"/>
      <c r="AY101" s="150"/>
      <c r="AZ101" s="150"/>
      <c r="BA101" s="150"/>
      <c r="BB101" s="150"/>
      <c r="BC101" s="150"/>
      <c r="BD101" s="150"/>
      <c r="BE101" s="150"/>
      <c r="BF101" s="150"/>
      <c r="BG101" s="150"/>
      <c r="BH101" s="150"/>
      <c r="BI101" s="150"/>
      <c r="BJ101" s="151"/>
      <c r="BL101" s="152"/>
      <c r="BM101" s="152"/>
      <c r="BN101" s="152"/>
      <c r="BO101" s="152"/>
      <c r="BP101" s="152"/>
      <c r="BQ101" s="152"/>
      <c r="BR101" s="152"/>
      <c r="BS101" s="152"/>
      <c r="BT101" s="152"/>
      <c r="BU101" s="152"/>
      <c r="BV101" s="152"/>
    </row>
    <row r="102" spans="2:74" ht="5.0999999999999996" customHeight="1" x14ac:dyDescent="0.25">
      <c r="B102" s="20"/>
      <c r="BJ102" s="26"/>
    </row>
    <row r="103" spans="2:74" ht="25.95" customHeight="1" x14ac:dyDescent="0.25">
      <c r="B103" s="20"/>
      <c r="C103" s="202" t="s">
        <v>190</v>
      </c>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3"/>
      <c r="AF103" s="203"/>
      <c r="AG103" s="203"/>
      <c r="AH103" s="204"/>
      <c r="AI103" s="81" t="s">
        <v>5</v>
      </c>
      <c r="AJ103" s="205">
        <f>IF(AND('Basic Information'!AN12="NPS",SUM(K24,Q24)&lt;&gt;0),IF(ISNUMBER(BA30),IF(SUM(BA30,BA28)&gt;50000,SUM(BA30,BA28)-50000,0),IF(BA28&gt;50000,BA28-50000,0)),0)</f>
        <v>0</v>
      </c>
      <c r="AK103" s="205"/>
      <c r="AL103" s="205"/>
      <c r="AM103" s="205"/>
      <c r="AN103" s="205"/>
      <c r="AO103" s="205"/>
      <c r="AP103" s="205"/>
      <c r="AQ103" s="205"/>
      <c r="AR103" s="205"/>
      <c r="AS103" s="205"/>
      <c r="AT103" s="183"/>
      <c r="AU103" s="183"/>
      <c r="AV103" s="170">
        <f>IF(AND('Basic Information'!AN12="NPS",SUM(BA28,BA30)&lt;&gt;0,(AV99+AV101)&lt;150000),IF((AV99+AV101+AJ103)&lt;=150000,AJ103,(150000-AV99-AV101)),0)</f>
        <v>0</v>
      </c>
      <c r="AW103" s="170"/>
      <c r="AX103" s="170"/>
      <c r="AY103" s="170"/>
      <c r="AZ103" s="170"/>
      <c r="BA103" s="170"/>
      <c r="BB103" s="170"/>
      <c r="BC103" s="170"/>
      <c r="BD103" s="170"/>
      <c r="BE103" s="170"/>
      <c r="BF103" s="170"/>
      <c r="BG103" s="170"/>
      <c r="BH103" s="170"/>
      <c r="BI103" s="170"/>
      <c r="BJ103" s="170"/>
    </row>
    <row r="104" spans="2:74" ht="5.0999999999999996" customHeight="1" x14ac:dyDescent="0.25">
      <c r="B104" s="20"/>
      <c r="BJ104" s="26"/>
      <c r="BL104" s="152" t="str">
        <f>IF(AV105=50000,"The maximum allowed limit for deduction u/s 124 (3) &amp; 124 (4) is ₹ 50,000. ","")</f>
        <v/>
      </c>
      <c r="BM104" s="152"/>
      <c r="BN104" s="152"/>
      <c r="BO104" s="152"/>
      <c r="BP104" s="152"/>
      <c r="BQ104" s="152"/>
      <c r="BR104" s="152"/>
      <c r="BS104" s="152"/>
      <c r="BT104" s="152"/>
      <c r="BU104" s="152"/>
      <c r="BV104" s="152"/>
    </row>
    <row r="105" spans="2:74" ht="25.95" customHeight="1" x14ac:dyDescent="0.25">
      <c r="B105" s="20"/>
      <c r="C105" s="202" t="s">
        <v>214</v>
      </c>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8"/>
      <c r="AI105" s="81" t="s">
        <v>5</v>
      </c>
      <c r="AJ105" s="144"/>
      <c r="AK105" s="145"/>
      <c r="AL105" s="145"/>
      <c r="AM105" s="145"/>
      <c r="AN105" s="145"/>
      <c r="AO105" s="145"/>
      <c r="AP105" s="145"/>
      <c r="AQ105" s="145"/>
      <c r="AR105" s="145"/>
      <c r="AS105" s="146"/>
      <c r="AT105" s="147"/>
      <c r="AU105" s="148"/>
      <c r="AV105" s="149">
        <f>IF(OR('Basic Information'!AN12="Statutory",'Basic Information'!AN12=""),IF(AJ105&gt;=50000,50000,AJ105),IF(AND('Basic Information'!AN12="NPS",SUM(K24,Q24)&lt;&gt;0),IF(ISNUMBER(BA30),IF(SUM(BA28,BA30,AJ105)&gt;=50000,50000,SUM(BA28,BA30,AJ105)),IF(SUM(BA28,AJ105)&gt;=50000,50000,SUM(BA28,AJ105))),0))</f>
        <v>0</v>
      </c>
      <c r="AW105" s="150"/>
      <c r="AX105" s="150"/>
      <c r="AY105" s="150"/>
      <c r="AZ105" s="150"/>
      <c r="BA105" s="150"/>
      <c r="BB105" s="150"/>
      <c r="BC105" s="150"/>
      <c r="BD105" s="150"/>
      <c r="BE105" s="150"/>
      <c r="BF105" s="150"/>
      <c r="BG105" s="150"/>
      <c r="BH105" s="150"/>
      <c r="BI105" s="150"/>
      <c r="BJ105" s="151"/>
      <c r="BL105" s="152"/>
      <c r="BM105" s="152"/>
      <c r="BN105" s="152"/>
      <c r="BO105" s="152"/>
      <c r="BP105" s="152"/>
      <c r="BQ105" s="152"/>
      <c r="BR105" s="152"/>
      <c r="BS105" s="152"/>
      <c r="BT105" s="152"/>
      <c r="BU105" s="152"/>
      <c r="BV105" s="152"/>
    </row>
    <row r="106" spans="2:74" ht="5.0999999999999996" customHeight="1" x14ac:dyDescent="0.25">
      <c r="B106" s="20"/>
      <c r="BJ106" s="26"/>
      <c r="BL106" s="152"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52"/>
      <c r="BN106" s="152"/>
      <c r="BO106" s="152"/>
      <c r="BP106" s="152"/>
      <c r="BQ106" s="152"/>
      <c r="BR106" s="152"/>
      <c r="BS106" s="152"/>
      <c r="BT106" s="152"/>
      <c r="BU106" s="152"/>
      <c r="BV106" s="152"/>
    </row>
    <row r="107" spans="2:74" ht="25.95" customHeight="1" x14ac:dyDescent="0.25">
      <c r="B107" s="20"/>
      <c r="C107" s="202" t="s">
        <v>180</v>
      </c>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4"/>
      <c r="AI107" s="81" t="s">
        <v>5</v>
      </c>
      <c r="AJ107" s="205">
        <f>IF('Basic Information'!AN12="NPS",IF(ISNUMBER(BA30),SUM(BA28,BA30),BA28),0)</f>
        <v>0</v>
      </c>
      <c r="AK107" s="205"/>
      <c r="AL107" s="205"/>
      <c r="AM107" s="205"/>
      <c r="AN107" s="205"/>
      <c r="AO107" s="205"/>
      <c r="AP107" s="205"/>
      <c r="AQ107" s="205"/>
      <c r="AR107" s="205"/>
      <c r="AS107" s="205"/>
      <c r="AT107" s="183"/>
      <c r="AU107" s="183"/>
      <c r="AV107" s="170">
        <f>IF(AJ107&lt;&gt;0,BA28,0)</f>
        <v>0</v>
      </c>
      <c r="AW107" s="170"/>
      <c r="AX107" s="170"/>
      <c r="AY107" s="170"/>
      <c r="AZ107" s="170"/>
      <c r="BA107" s="170"/>
      <c r="BB107" s="170"/>
      <c r="BC107" s="170"/>
      <c r="BD107" s="170"/>
      <c r="BE107" s="170"/>
      <c r="BF107" s="170"/>
      <c r="BG107" s="170"/>
      <c r="BH107" s="170"/>
      <c r="BI107" s="170"/>
      <c r="BJ107" s="170"/>
      <c r="BL107" s="152"/>
      <c r="BM107" s="152"/>
      <c r="BN107" s="152"/>
      <c r="BO107" s="152"/>
      <c r="BP107" s="152"/>
      <c r="BQ107" s="152"/>
      <c r="BR107" s="152"/>
      <c r="BS107" s="152"/>
      <c r="BT107" s="152"/>
      <c r="BU107" s="152"/>
      <c r="BV107" s="152"/>
    </row>
    <row r="108" spans="2:74" ht="5.0999999999999996" customHeight="1" x14ac:dyDescent="0.25">
      <c r="B108" s="20"/>
      <c r="BJ108" s="26"/>
      <c r="BL108" s="152"/>
      <c r="BM108" s="152"/>
      <c r="BN108" s="152"/>
      <c r="BO108" s="152"/>
      <c r="BP108" s="152"/>
      <c r="BQ108" s="152"/>
      <c r="BR108" s="152"/>
      <c r="BS108" s="152"/>
      <c r="BT108" s="152"/>
      <c r="BU108" s="152"/>
      <c r="BV108" s="152"/>
    </row>
    <row r="109" spans="2:74" ht="15" customHeight="1" x14ac:dyDescent="0.25">
      <c r="B109" s="20"/>
      <c r="C109" s="160" t="s">
        <v>192</v>
      </c>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9"/>
    </row>
    <row r="110" spans="2:74" ht="5.0999999999999996" customHeight="1" x14ac:dyDescent="0.25">
      <c r="B110" s="20"/>
      <c r="C110" s="20"/>
      <c r="BJ110" s="26"/>
    </row>
    <row r="111" spans="2:74" ht="16.5" customHeight="1" x14ac:dyDescent="0.25">
      <c r="B111" s="20"/>
      <c r="C111" s="20"/>
      <c r="D111" s="229" t="s">
        <v>90</v>
      </c>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0"/>
      <c r="AM111" s="230"/>
      <c r="AN111" s="230"/>
      <c r="AO111" s="230"/>
      <c r="AP111" s="230"/>
      <c r="AQ111" s="230"/>
      <c r="AR111" s="230"/>
      <c r="AS111" s="230"/>
      <c r="AT111" s="230"/>
      <c r="AU111" s="230"/>
      <c r="AV111" s="230"/>
      <c r="AW111" s="230"/>
      <c r="AX111" s="230"/>
      <c r="AY111" s="230"/>
      <c r="AZ111" s="230"/>
      <c r="BA111" s="230"/>
      <c r="BB111" s="230"/>
      <c r="BC111" s="230"/>
      <c r="BD111" s="230"/>
      <c r="BE111" s="230"/>
      <c r="BF111" s="230"/>
      <c r="BG111" s="230"/>
      <c r="BH111" s="230"/>
      <c r="BI111" s="230"/>
      <c r="BJ111" s="231"/>
    </row>
    <row r="112" spans="2:74" ht="5.0999999999999996" customHeight="1" x14ac:dyDescent="0.25">
      <c r="B112" s="20"/>
      <c r="C112" s="20"/>
      <c r="D112" s="20"/>
      <c r="BJ112" s="26"/>
    </row>
    <row r="113" spans="2:77" ht="14.4" x14ac:dyDescent="0.25">
      <c r="B113" s="20"/>
      <c r="C113" s="20"/>
      <c r="D113" s="20"/>
      <c r="E113" s="169" t="s">
        <v>94</v>
      </c>
      <c r="F113" s="169"/>
      <c r="G113" s="169"/>
      <c r="H113" s="169"/>
      <c r="I113" s="169"/>
      <c r="J113" s="169"/>
      <c r="K113" s="169"/>
      <c r="L113" s="169"/>
      <c r="M113" s="169"/>
      <c r="N113" s="169"/>
      <c r="O113" s="169"/>
      <c r="P113" s="169"/>
      <c r="Q113" s="169" t="s">
        <v>93</v>
      </c>
      <c r="R113" s="169"/>
      <c r="S113" s="169"/>
      <c r="T113" s="169"/>
      <c r="U113" s="169"/>
      <c r="V113" s="169"/>
      <c r="W113" s="169"/>
      <c r="X113" s="169"/>
      <c r="Y113" s="169"/>
      <c r="Z113" s="292" t="s">
        <v>43</v>
      </c>
      <c r="AA113" s="292"/>
      <c r="AB113" s="292"/>
      <c r="AC113" s="292"/>
      <c r="AD113" s="292"/>
      <c r="AE113" s="292"/>
      <c r="AF113" s="292"/>
      <c r="AG113" s="292"/>
      <c r="AH113" s="293"/>
      <c r="AI113" s="81" t="s">
        <v>5</v>
      </c>
      <c r="AJ113" s="184"/>
      <c r="AK113" s="184"/>
      <c r="AL113" s="184"/>
      <c r="AM113" s="184"/>
      <c r="AN113" s="184"/>
      <c r="AO113" s="184"/>
      <c r="AP113" s="184"/>
      <c r="AQ113" s="184"/>
      <c r="AR113" s="184"/>
      <c r="AS113" s="184"/>
      <c r="AT113" s="183"/>
      <c r="AU113" s="183"/>
      <c r="AV113" s="170">
        <f>IF(Z113="Other than Cash",IF((AJ113+AJ115+AP24)&lt;=25000,(AJ113+AP24),IF((AJ113+AP24)&lt;25000,(AJ113+AP24),25000)),IF(AP24&lt;&gt;0,AP24,0))</f>
        <v>0</v>
      </c>
      <c r="AW113" s="170"/>
      <c r="AX113" s="170"/>
      <c r="AY113" s="170"/>
      <c r="AZ113" s="170"/>
      <c r="BA113" s="170"/>
      <c r="BB113" s="170"/>
      <c r="BC113" s="170"/>
      <c r="BD113" s="170"/>
      <c r="BE113" s="170"/>
      <c r="BF113" s="170"/>
      <c r="BG113" s="170"/>
      <c r="BH113" s="170"/>
      <c r="BI113" s="170"/>
      <c r="BJ113" s="170"/>
      <c r="BP113" s="337" t="str">
        <f>IF(AND(AJ113&lt;&gt;0, OR(ISBLANK(Z113),Z113="SELECT")),"Please select the payment mode. ",IF(AND(AJ113&lt;&gt;0, Z113="cash"),"Health Insurance premium paid in cash is not allowed for deduction u/s 126. ",IF(AP24&lt;&gt;0,"MediSep Premium is included here.","")))</f>
        <v/>
      </c>
      <c r="BQ113" s="338"/>
      <c r="BR113" s="338"/>
      <c r="BS113" s="338"/>
      <c r="BT113" s="338"/>
      <c r="BU113" s="338"/>
      <c r="BV113" s="338"/>
      <c r="BW113" s="338"/>
    </row>
    <row r="114" spans="2:77" ht="5.0999999999999996" customHeight="1" x14ac:dyDescent="0.25">
      <c r="B114" s="20"/>
      <c r="C114" s="20"/>
      <c r="D114" s="20"/>
      <c r="BJ114" s="26"/>
      <c r="BP114" s="154"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339"/>
      <c r="BR114" s="339"/>
      <c r="BS114" s="339"/>
      <c r="BT114" s="339"/>
      <c r="BU114" s="339"/>
      <c r="BV114" s="339"/>
      <c r="BW114" s="339"/>
      <c r="BX114" s="336"/>
    </row>
    <row r="115" spans="2:77" x14ac:dyDescent="0.25">
      <c r="B115" s="20"/>
      <c r="C115" s="20"/>
      <c r="D115" s="20"/>
      <c r="E115" s="160" t="s">
        <v>120</v>
      </c>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9"/>
      <c r="AI115" s="81" t="s">
        <v>5</v>
      </c>
      <c r="AJ115" s="144"/>
      <c r="AK115" s="145"/>
      <c r="AL115" s="145"/>
      <c r="AM115" s="145"/>
      <c r="AN115" s="145"/>
      <c r="AO115" s="145"/>
      <c r="AP115" s="145"/>
      <c r="AQ115" s="145"/>
      <c r="AR115" s="145"/>
      <c r="AS115" s="146"/>
      <c r="AT115" s="148"/>
      <c r="AU115" s="183"/>
      <c r="AV115" s="149">
        <f>IF(AJ115&lt;&gt;0,IF(AJ115&lt;=5000,IF((AJ115+AV113)&lt;=25000,AJ115,(25000-AV113)),IF((AJ115+AV113)&gt;25000,IF((25000-AV113)&lt;=5000,(25000-AV113),5000),5000)),0)</f>
        <v>0</v>
      </c>
      <c r="AW115" s="150"/>
      <c r="AX115" s="150"/>
      <c r="AY115" s="150"/>
      <c r="AZ115" s="150"/>
      <c r="BA115" s="150"/>
      <c r="BB115" s="150"/>
      <c r="BC115" s="150"/>
      <c r="BD115" s="150"/>
      <c r="BE115" s="150"/>
      <c r="BF115" s="150"/>
      <c r="BG115" s="150"/>
      <c r="BH115" s="150"/>
      <c r="BI115" s="150"/>
      <c r="BJ115" s="151"/>
      <c r="BP115" s="339"/>
      <c r="BQ115" s="339"/>
      <c r="BR115" s="339"/>
      <c r="BS115" s="339"/>
      <c r="BT115" s="339"/>
      <c r="BU115" s="339"/>
      <c r="BV115" s="339"/>
      <c r="BW115" s="339"/>
      <c r="BX115" s="336"/>
    </row>
    <row r="116" spans="2:77" ht="5.0999999999999996" customHeight="1" x14ac:dyDescent="0.25">
      <c r="B116" s="20"/>
      <c r="C116" s="20"/>
      <c r="D116" s="20"/>
      <c r="BJ116" s="26"/>
      <c r="BP116" s="339"/>
      <c r="BQ116" s="339"/>
      <c r="BR116" s="339"/>
      <c r="BS116" s="339"/>
      <c r="BT116" s="339"/>
      <c r="BU116" s="339"/>
      <c r="BV116" s="339"/>
      <c r="BW116" s="339"/>
      <c r="BX116" s="336"/>
    </row>
    <row r="117" spans="2:77" x14ac:dyDescent="0.25">
      <c r="B117" s="20"/>
      <c r="C117" s="20"/>
      <c r="D117" s="229" t="s">
        <v>91</v>
      </c>
      <c r="E117" s="230"/>
      <c r="F117" s="230"/>
      <c r="G117" s="230"/>
      <c r="H117" s="230"/>
      <c r="I117" s="230"/>
      <c r="J117" s="230"/>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9"/>
    </row>
    <row r="118" spans="2:77" ht="5.0999999999999996" customHeight="1" x14ac:dyDescent="0.25">
      <c r="B118" s="20"/>
      <c r="C118" s="20"/>
      <c r="D118" s="20"/>
      <c r="BJ118" s="26"/>
    </row>
    <row r="119" spans="2:77" s="47" customFormat="1" ht="15" customHeight="1" x14ac:dyDescent="0.3">
      <c r="B119" s="24"/>
      <c r="C119" s="24"/>
      <c r="D119" s="77"/>
      <c r="E119" s="141" t="s">
        <v>143</v>
      </c>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3"/>
      <c r="AC119" s="234" t="s">
        <v>43</v>
      </c>
      <c r="AD119" s="196"/>
      <c r="AE119" s="196"/>
      <c r="AF119" s="196"/>
      <c r="AG119" s="235"/>
      <c r="AH119" s="131"/>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c r="BF119" s="294"/>
      <c r="BG119" s="294"/>
      <c r="BH119" s="294"/>
      <c r="BI119" s="294"/>
      <c r="BJ119" s="295"/>
      <c r="BP119" s="80"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160" t="s">
        <v>94</v>
      </c>
      <c r="F121" s="188"/>
      <c r="G121" s="188"/>
      <c r="H121" s="188"/>
      <c r="I121" s="188"/>
      <c r="J121" s="188"/>
      <c r="K121" s="188"/>
      <c r="L121" s="188"/>
      <c r="M121" s="188"/>
      <c r="N121" s="188"/>
      <c r="O121" s="188"/>
      <c r="P121" s="189"/>
      <c r="Q121" s="160" t="s">
        <v>93</v>
      </c>
      <c r="R121" s="188"/>
      <c r="S121" s="188"/>
      <c r="T121" s="188"/>
      <c r="U121" s="188"/>
      <c r="V121" s="188"/>
      <c r="W121" s="188"/>
      <c r="X121" s="188"/>
      <c r="Y121" s="189"/>
      <c r="Z121" s="296" t="s">
        <v>43</v>
      </c>
      <c r="AA121" s="297"/>
      <c r="AB121" s="297"/>
      <c r="AC121" s="297"/>
      <c r="AD121" s="297"/>
      <c r="AE121" s="297"/>
      <c r="AF121" s="297"/>
      <c r="AG121" s="297"/>
      <c r="AH121" s="298"/>
      <c r="AI121" s="83" t="s">
        <v>5</v>
      </c>
      <c r="AJ121" s="144"/>
      <c r="AK121" s="145"/>
      <c r="AL121" s="145"/>
      <c r="AM121" s="145"/>
      <c r="AN121" s="145"/>
      <c r="AO121" s="145"/>
      <c r="AP121" s="145"/>
      <c r="AQ121" s="145"/>
      <c r="AR121" s="145"/>
      <c r="AS121" s="146"/>
      <c r="AT121" s="183"/>
      <c r="AU121" s="183"/>
      <c r="AV121" s="149">
        <f>IF(AC119="Yes",IF(Z121="Other than Cash",IF((AJ121+AJ123)&lt;=50000,AJ121,IF(AJ121&lt;50000,AJ121,50000)),0),IF(AND(AC119="No",Z121="Other than Cash"),IF((AJ121+AJ123)&lt;=25000,AJ121,IF(AJ121&lt;25000,AJ121,25000)),0))</f>
        <v>0</v>
      </c>
      <c r="AW121" s="150"/>
      <c r="AX121" s="150"/>
      <c r="AY121" s="150"/>
      <c r="AZ121" s="150"/>
      <c r="BA121" s="150"/>
      <c r="BB121" s="150"/>
      <c r="BC121" s="150"/>
      <c r="BD121" s="150"/>
      <c r="BE121" s="150"/>
      <c r="BF121" s="150"/>
      <c r="BG121" s="150"/>
      <c r="BH121" s="150"/>
      <c r="BI121" s="150"/>
      <c r="BJ121" s="151"/>
      <c r="BP121" s="35"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54"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339"/>
      <c r="BR122" s="339"/>
      <c r="BS122" s="339"/>
      <c r="BT122" s="339"/>
      <c r="BU122" s="339"/>
      <c r="BV122" s="339"/>
      <c r="BW122" s="339"/>
      <c r="BX122" s="339"/>
    </row>
    <row r="123" spans="2:77" x14ac:dyDescent="0.25">
      <c r="B123" s="20"/>
      <c r="C123" s="20"/>
      <c r="D123" s="20"/>
      <c r="E123" s="160" t="s">
        <v>120</v>
      </c>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9"/>
      <c r="AI123" s="81" t="s">
        <v>5</v>
      </c>
      <c r="AJ123" s="144"/>
      <c r="AK123" s="145"/>
      <c r="AL123" s="145"/>
      <c r="AM123" s="145"/>
      <c r="AN123" s="145"/>
      <c r="AO123" s="145"/>
      <c r="AP123" s="145"/>
      <c r="AQ123" s="145"/>
      <c r="AR123" s="145"/>
      <c r="AS123" s="146"/>
      <c r="AT123" s="183"/>
      <c r="AU123" s="183"/>
      <c r="AV123" s="149">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50"/>
      <c r="AX123" s="150"/>
      <c r="AY123" s="150"/>
      <c r="AZ123" s="150"/>
      <c r="BA123" s="150"/>
      <c r="BB123" s="150"/>
      <c r="BC123" s="150"/>
      <c r="BD123" s="150"/>
      <c r="BE123" s="150"/>
      <c r="BF123" s="150"/>
      <c r="BG123" s="150"/>
      <c r="BH123" s="150"/>
      <c r="BI123" s="150"/>
      <c r="BJ123" s="151"/>
      <c r="BP123" s="339"/>
      <c r="BQ123" s="339"/>
      <c r="BR123" s="339"/>
      <c r="BS123" s="339"/>
      <c r="BT123" s="339"/>
      <c r="BU123" s="339"/>
      <c r="BV123" s="339"/>
      <c r="BW123" s="339"/>
      <c r="BX123" s="339"/>
    </row>
    <row r="124" spans="2:77" ht="5.0999999999999996" customHeight="1" x14ac:dyDescent="0.25">
      <c r="B124" s="20"/>
      <c r="C124" s="20"/>
      <c r="D124" s="20"/>
      <c r="BJ124" s="26"/>
      <c r="BP124" s="339"/>
      <c r="BQ124" s="339"/>
      <c r="BR124" s="339"/>
      <c r="BS124" s="339"/>
      <c r="BT124" s="339"/>
      <c r="BU124" s="339"/>
      <c r="BV124" s="339"/>
      <c r="BW124" s="339"/>
      <c r="BX124" s="339"/>
    </row>
    <row r="125" spans="2:77" x14ac:dyDescent="0.25">
      <c r="B125" s="20"/>
      <c r="C125" s="20"/>
      <c r="D125" s="22"/>
      <c r="E125" s="160" t="s">
        <v>95</v>
      </c>
      <c r="F125" s="188"/>
      <c r="G125" s="188"/>
      <c r="H125" s="188"/>
      <c r="I125" s="188"/>
      <c r="J125" s="188"/>
      <c r="K125" s="188"/>
      <c r="L125" s="188"/>
      <c r="M125" s="188"/>
      <c r="N125" s="188"/>
      <c r="O125" s="188"/>
      <c r="P125" s="189"/>
      <c r="Q125" s="160" t="s">
        <v>93</v>
      </c>
      <c r="R125" s="188"/>
      <c r="S125" s="188"/>
      <c r="T125" s="188"/>
      <c r="U125" s="188"/>
      <c r="V125" s="188"/>
      <c r="W125" s="188"/>
      <c r="X125" s="188"/>
      <c r="Y125" s="189"/>
      <c r="Z125" s="296" t="s">
        <v>43</v>
      </c>
      <c r="AA125" s="297"/>
      <c r="AB125" s="297"/>
      <c r="AC125" s="297"/>
      <c r="AD125" s="297"/>
      <c r="AE125" s="297"/>
      <c r="AF125" s="297"/>
      <c r="AG125" s="297"/>
      <c r="AH125" s="298"/>
      <c r="AI125" s="81" t="s">
        <v>5</v>
      </c>
      <c r="AJ125" s="144"/>
      <c r="AK125" s="145"/>
      <c r="AL125" s="145"/>
      <c r="AM125" s="145"/>
      <c r="AN125" s="145"/>
      <c r="AO125" s="145"/>
      <c r="AP125" s="145"/>
      <c r="AQ125" s="145"/>
      <c r="AR125" s="145"/>
      <c r="AS125" s="146"/>
      <c r="AT125" s="183"/>
      <c r="AU125" s="183"/>
      <c r="AV125" s="149">
        <f>IF(AND(AC119="Yes",Z125="Other than Cash"),IF(AV121=0,IF(AJ125&lt;=50000,AJ125,50000),0),0)</f>
        <v>0</v>
      </c>
      <c r="AW125" s="150"/>
      <c r="AX125" s="150"/>
      <c r="AY125" s="150"/>
      <c r="AZ125" s="150"/>
      <c r="BA125" s="150"/>
      <c r="BB125" s="150"/>
      <c r="BC125" s="150"/>
      <c r="BD125" s="150"/>
      <c r="BE125" s="150"/>
      <c r="BF125" s="150"/>
      <c r="BG125" s="150"/>
      <c r="BH125" s="150"/>
      <c r="BI125" s="150"/>
      <c r="BJ125" s="151"/>
      <c r="BP125" s="152"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336"/>
      <c r="BR125" s="336"/>
      <c r="BS125" s="336"/>
      <c r="BT125" s="336"/>
      <c r="BU125" s="336"/>
      <c r="BV125" s="336"/>
      <c r="BW125" s="336"/>
      <c r="BX125" s="336"/>
      <c r="BY125" s="336"/>
    </row>
    <row r="126" spans="2:77" ht="5.0999999999999996" customHeight="1" x14ac:dyDescent="0.25">
      <c r="B126" s="20"/>
      <c r="C126" s="20"/>
      <c r="BJ126" s="26"/>
      <c r="BP126" s="132"/>
      <c r="BQ126" s="132"/>
      <c r="BR126" s="132"/>
      <c r="BS126" s="132"/>
      <c r="BT126" s="132"/>
      <c r="BU126" s="132"/>
      <c r="BV126" s="132"/>
      <c r="BW126" s="132"/>
      <c r="BX126" s="132"/>
      <c r="BY126" s="132"/>
    </row>
    <row r="127" spans="2:77" x14ac:dyDescent="0.25">
      <c r="B127" s="20"/>
      <c r="C127" s="160" t="s">
        <v>193</v>
      </c>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9"/>
      <c r="AI127" s="81" t="s">
        <v>5</v>
      </c>
      <c r="AJ127" s="180">
        <f>SUM(AP24,AJ113,AJ115,AJ121,AJ123,AJ125)</f>
        <v>0</v>
      </c>
      <c r="AK127" s="181"/>
      <c r="AL127" s="181"/>
      <c r="AM127" s="181"/>
      <c r="AN127" s="181"/>
      <c r="AO127" s="181"/>
      <c r="AP127" s="181"/>
      <c r="AQ127" s="181"/>
      <c r="AR127" s="181"/>
      <c r="AS127" s="182"/>
      <c r="AT127" s="183"/>
      <c r="AU127" s="183"/>
      <c r="AV127" s="149">
        <f>SUM(AV113,AV115,AV121,AV123,AV125)</f>
        <v>0</v>
      </c>
      <c r="AW127" s="150"/>
      <c r="AX127" s="150"/>
      <c r="AY127" s="150"/>
      <c r="AZ127" s="150"/>
      <c r="BA127" s="150"/>
      <c r="BB127" s="150"/>
      <c r="BC127" s="150"/>
      <c r="BD127" s="150"/>
      <c r="BE127" s="150"/>
      <c r="BF127" s="150"/>
      <c r="BG127" s="150"/>
      <c r="BH127" s="150"/>
      <c r="BI127" s="150"/>
      <c r="BJ127" s="151"/>
      <c r="BP127" s="132"/>
      <c r="BQ127" s="132"/>
      <c r="BR127" s="132"/>
      <c r="BS127" s="132"/>
      <c r="BT127" s="132"/>
      <c r="BU127" s="132"/>
      <c r="BV127" s="132"/>
      <c r="BW127" s="132"/>
      <c r="BX127" s="132"/>
      <c r="BY127" s="132"/>
    </row>
    <row r="128" spans="2:77" ht="5.0999999999999996" customHeight="1" x14ac:dyDescent="0.25">
      <c r="B128" s="20"/>
      <c r="BJ128" s="26"/>
      <c r="BP128" s="152"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53"/>
      <c r="BR128" s="153"/>
      <c r="BS128" s="153"/>
      <c r="BT128" s="153"/>
      <c r="BU128" s="153"/>
      <c r="BV128" s="153"/>
      <c r="BW128" s="153"/>
    </row>
    <row r="129" spans="2:75" ht="25.5" customHeight="1" x14ac:dyDescent="0.25">
      <c r="B129" s="20"/>
      <c r="C129" s="222" t="s">
        <v>194</v>
      </c>
      <c r="D129" s="223"/>
      <c r="E129" s="223"/>
      <c r="F129" s="223"/>
      <c r="G129" s="223"/>
      <c r="H129" s="223"/>
      <c r="I129" s="223"/>
      <c r="J129" s="223"/>
      <c r="K129" s="223"/>
      <c r="L129" s="223"/>
      <c r="M129" s="223"/>
      <c r="N129" s="223"/>
      <c r="O129" s="223"/>
      <c r="P129" s="223"/>
      <c r="Q129" s="223"/>
      <c r="R129" s="223"/>
      <c r="S129" s="223"/>
      <c r="T129" s="223"/>
      <c r="U129" s="223"/>
      <c r="V129" s="223"/>
      <c r="W129" s="223"/>
      <c r="X129" s="224"/>
      <c r="Y129" s="195" t="s">
        <v>43</v>
      </c>
      <c r="Z129" s="219"/>
      <c r="AA129" s="219"/>
      <c r="AB129" s="219"/>
      <c r="AC129" s="219"/>
      <c r="AD129" s="219"/>
      <c r="AE129" s="219"/>
      <c r="AF129" s="220"/>
      <c r="AG129" s="220"/>
      <c r="AH129" s="221"/>
      <c r="AI129" s="81" t="s">
        <v>5</v>
      </c>
      <c r="AJ129" s="144"/>
      <c r="AK129" s="145"/>
      <c r="AL129" s="145"/>
      <c r="AM129" s="145"/>
      <c r="AN129" s="145"/>
      <c r="AO129" s="145"/>
      <c r="AP129" s="145"/>
      <c r="AQ129" s="145"/>
      <c r="AR129" s="145"/>
      <c r="AS129" s="146"/>
      <c r="AT129" s="183"/>
      <c r="AU129" s="183"/>
      <c r="AV129" s="149">
        <f>IF(AND(AJ129&lt;&gt;0, Y129="Dependent Person with Severe Disability"), IF(AJ129&lt;=125000,AJ129,125000), IF(AND(AJ129&lt;&gt;0, Y129="Dependent Person with Disability"), IF(AJ129&lt;=75000,AJ129,75000),0))</f>
        <v>0</v>
      </c>
      <c r="AW129" s="150"/>
      <c r="AX129" s="150"/>
      <c r="AY129" s="150"/>
      <c r="AZ129" s="150"/>
      <c r="BA129" s="150"/>
      <c r="BB129" s="150"/>
      <c r="BC129" s="150"/>
      <c r="BD129" s="150"/>
      <c r="BE129" s="150"/>
      <c r="BF129" s="150"/>
      <c r="BG129" s="150"/>
      <c r="BH129" s="150"/>
      <c r="BI129" s="150"/>
      <c r="BJ129" s="151"/>
      <c r="BP129" s="153"/>
      <c r="BQ129" s="153"/>
      <c r="BR129" s="153"/>
      <c r="BS129" s="153"/>
      <c r="BT129" s="153"/>
      <c r="BU129" s="153"/>
      <c r="BV129" s="153"/>
      <c r="BW129" s="153"/>
    </row>
    <row r="130" spans="2:75" ht="5.0999999999999996" customHeight="1" x14ac:dyDescent="0.25">
      <c r="B130" s="20"/>
      <c r="BJ130" s="26"/>
      <c r="BP130" s="152"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52"/>
      <c r="BR130" s="152"/>
      <c r="BS130" s="152"/>
      <c r="BT130" s="152"/>
      <c r="BU130" s="152"/>
      <c r="BV130" s="152"/>
      <c r="BW130" s="152"/>
    </row>
    <row r="131" spans="2:75" ht="23.25" customHeight="1" x14ac:dyDescent="0.25">
      <c r="B131" s="20"/>
      <c r="C131" s="199" t="s">
        <v>195</v>
      </c>
      <c r="D131" s="200"/>
      <c r="E131" s="200"/>
      <c r="F131" s="200"/>
      <c r="G131" s="200"/>
      <c r="H131" s="200"/>
      <c r="I131" s="200"/>
      <c r="J131" s="200"/>
      <c r="K131" s="200"/>
      <c r="L131" s="200"/>
      <c r="M131" s="200"/>
      <c r="N131" s="200"/>
      <c r="O131" s="200"/>
      <c r="P131" s="200"/>
      <c r="Q131" s="200"/>
      <c r="R131" s="200"/>
      <c r="S131" s="200"/>
      <c r="T131" s="200"/>
      <c r="U131" s="200"/>
      <c r="V131" s="200"/>
      <c r="W131" s="200"/>
      <c r="X131" s="201"/>
      <c r="Y131" s="195" t="s">
        <v>43</v>
      </c>
      <c r="Z131" s="196"/>
      <c r="AA131" s="196"/>
      <c r="AB131" s="196"/>
      <c r="AC131" s="196"/>
      <c r="AD131" s="196"/>
      <c r="AE131" s="196"/>
      <c r="AF131" s="197"/>
      <c r="AG131" s="197"/>
      <c r="AH131" s="198"/>
      <c r="AI131" s="81" t="s">
        <v>5</v>
      </c>
      <c r="AJ131" s="144"/>
      <c r="AK131" s="145"/>
      <c r="AL131" s="145"/>
      <c r="AM131" s="145"/>
      <c r="AN131" s="145"/>
      <c r="AO131" s="145"/>
      <c r="AP131" s="145"/>
      <c r="AQ131" s="145"/>
      <c r="AR131" s="145"/>
      <c r="AS131" s="146"/>
      <c r="AT131" s="183"/>
      <c r="AU131" s="183"/>
      <c r="AV131" s="149">
        <f>IF(AND(AJ131&lt;&gt;0, Y131="Self or Dependent - Senior Citizen"), IF(AJ131&lt;=100000,AJ131,100000),IF(AND(AJ131&lt;&gt;0, Y131="Self or Dependent"),  IF(AJ131&lt;=40000,AJ131,40000),0))</f>
        <v>0</v>
      </c>
      <c r="AW131" s="150"/>
      <c r="AX131" s="150"/>
      <c r="AY131" s="150"/>
      <c r="AZ131" s="150"/>
      <c r="BA131" s="150"/>
      <c r="BB131" s="150"/>
      <c r="BC131" s="150"/>
      <c r="BD131" s="150"/>
      <c r="BE131" s="150"/>
      <c r="BF131" s="150"/>
      <c r="BG131" s="150"/>
      <c r="BH131" s="150"/>
      <c r="BI131" s="150"/>
      <c r="BJ131" s="151"/>
      <c r="BP131" s="152"/>
      <c r="BQ131" s="152"/>
      <c r="BR131" s="152"/>
      <c r="BS131" s="152"/>
      <c r="BT131" s="152"/>
      <c r="BU131" s="152"/>
      <c r="BV131" s="152"/>
      <c r="BW131" s="152"/>
    </row>
    <row r="132" spans="2:75" ht="5.0999999999999996" customHeight="1" x14ac:dyDescent="0.25">
      <c r="B132" s="20"/>
      <c r="BJ132" s="26"/>
    </row>
    <row r="133" spans="2:75" ht="18" customHeight="1" x14ac:dyDescent="0.25">
      <c r="B133" s="20"/>
      <c r="C133" s="141" t="s">
        <v>196</v>
      </c>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9"/>
      <c r="AI133" s="81" t="s">
        <v>5</v>
      </c>
      <c r="AJ133" s="144"/>
      <c r="AK133" s="145"/>
      <c r="AL133" s="145"/>
      <c r="AM133" s="145"/>
      <c r="AN133" s="145"/>
      <c r="AO133" s="145"/>
      <c r="AP133" s="145"/>
      <c r="AQ133" s="145"/>
      <c r="AR133" s="145"/>
      <c r="AS133" s="146"/>
      <c r="AT133" s="183"/>
      <c r="AU133" s="183"/>
      <c r="AV133" s="149">
        <f>IF(AJ133&lt;=AV72,AJ133,AV72)</f>
        <v>0</v>
      </c>
      <c r="AW133" s="150"/>
      <c r="AX133" s="150"/>
      <c r="AY133" s="150"/>
      <c r="AZ133" s="150"/>
      <c r="BA133" s="150"/>
      <c r="BB133" s="150"/>
      <c r="BC133" s="150"/>
      <c r="BD133" s="150"/>
      <c r="BE133" s="150"/>
      <c r="BF133" s="150"/>
      <c r="BG133" s="150"/>
      <c r="BH133" s="150"/>
      <c r="BI133" s="150"/>
      <c r="BJ133" s="151"/>
    </row>
    <row r="134" spans="2:75" ht="5.0999999999999996" customHeight="1" x14ac:dyDescent="0.25">
      <c r="B134" s="20"/>
      <c r="BJ134" s="26"/>
    </row>
    <row r="135" spans="2:75" ht="27.6" customHeight="1" x14ac:dyDescent="0.25">
      <c r="B135" s="20"/>
      <c r="C135" s="141" t="s">
        <v>197</v>
      </c>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9"/>
      <c r="AI135" s="81" t="s">
        <v>5</v>
      </c>
      <c r="AJ135" s="144"/>
      <c r="AK135" s="145"/>
      <c r="AL135" s="145"/>
      <c r="AM135" s="145"/>
      <c r="AN135" s="145"/>
      <c r="AO135" s="145"/>
      <c r="AP135" s="145"/>
      <c r="AQ135" s="145"/>
      <c r="AR135" s="145"/>
      <c r="AS135" s="146"/>
      <c r="AT135" s="183"/>
      <c r="AU135" s="183"/>
      <c r="AV135" s="149">
        <f>IF(AJ135&lt;=50000,AJ135,50000)</f>
        <v>0</v>
      </c>
      <c r="AW135" s="150"/>
      <c r="AX135" s="150"/>
      <c r="AY135" s="150"/>
      <c r="AZ135" s="150"/>
      <c r="BA135" s="150"/>
      <c r="BB135" s="150"/>
      <c r="BC135" s="150"/>
      <c r="BD135" s="150"/>
      <c r="BE135" s="150"/>
      <c r="BF135" s="150"/>
      <c r="BG135" s="150"/>
      <c r="BH135" s="150"/>
      <c r="BI135" s="150"/>
      <c r="BJ135" s="151"/>
      <c r="BP135" s="337" t="str">
        <f>IF(AJ135&gt;50000,"The maximum deduction allowed u/s 130 is ₹ 50,000.","")</f>
        <v/>
      </c>
      <c r="BQ135" s="338"/>
      <c r="BR135" s="338"/>
      <c r="BS135" s="338"/>
      <c r="BT135" s="338"/>
      <c r="BU135" s="338"/>
      <c r="BV135" s="338"/>
      <c r="BW135" s="338"/>
    </row>
    <row r="136" spans="2:75" ht="5.0999999999999996" customHeight="1" x14ac:dyDescent="0.25">
      <c r="B136" s="20"/>
      <c r="BJ136" s="26"/>
    </row>
    <row r="137" spans="2:75" ht="27.6" customHeight="1" x14ac:dyDescent="0.25">
      <c r="B137" s="20"/>
      <c r="C137" s="202" t="s">
        <v>198</v>
      </c>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4"/>
      <c r="AI137" s="81" t="s">
        <v>5</v>
      </c>
      <c r="AJ137" s="144"/>
      <c r="AK137" s="145"/>
      <c r="AL137" s="145"/>
      <c r="AM137" s="145"/>
      <c r="AN137" s="145"/>
      <c r="AO137" s="145"/>
      <c r="AP137" s="145"/>
      <c r="AQ137" s="145"/>
      <c r="AR137" s="145"/>
      <c r="AS137" s="146"/>
      <c r="AT137" s="183"/>
      <c r="AU137" s="183"/>
      <c r="AV137" s="149">
        <f>IF(AV135=0,IF(AJ137&lt;=150000,AJ137,150000),0)</f>
        <v>0</v>
      </c>
      <c r="AW137" s="150"/>
      <c r="AX137" s="150"/>
      <c r="AY137" s="150"/>
      <c r="AZ137" s="150"/>
      <c r="BA137" s="150"/>
      <c r="BB137" s="150"/>
      <c r="BC137" s="150"/>
      <c r="BD137" s="150"/>
      <c r="BE137" s="150"/>
      <c r="BF137" s="150"/>
      <c r="BG137" s="150"/>
      <c r="BH137" s="150"/>
      <c r="BI137" s="150"/>
      <c r="BJ137" s="151"/>
      <c r="BP137" s="337" t="str">
        <f>IF(AND(AV135&lt;&gt;0,AJ137&lt;&gt;0),"You are not eligible for deductions u/s 131, since you have deduction u/s 130.",IF(AND(AV135=0,AJ137&gt;150000),"The maximum deduction allowed u/s 131 is ₹ 150,000.",""))</f>
        <v/>
      </c>
      <c r="BQ137" s="338"/>
      <c r="BR137" s="338"/>
      <c r="BS137" s="338"/>
      <c r="BT137" s="338"/>
      <c r="BU137" s="338"/>
      <c r="BV137" s="338"/>
      <c r="BW137" s="338"/>
    </row>
    <row r="138" spans="2:75" ht="5.0999999999999996" customHeight="1" x14ac:dyDescent="0.25">
      <c r="B138" s="20"/>
      <c r="BJ138" s="26"/>
    </row>
    <row r="139" spans="2:75" ht="27.6" customHeight="1" x14ac:dyDescent="0.25">
      <c r="B139" s="20"/>
      <c r="C139" s="202" t="s">
        <v>200</v>
      </c>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4"/>
      <c r="AI139" s="81" t="s">
        <v>5</v>
      </c>
      <c r="AJ139" s="144"/>
      <c r="AK139" s="145"/>
      <c r="AL139" s="145"/>
      <c r="AM139" s="145"/>
      <c r="AN139" s="145"/>
      <c r="AO139" s="145"/>
      <c r="AP139" s="145"/>
      <c r="AQ139" s="145"/>
      <c r="AR139" s="145"/>
      <c r="AS139" s="146"/>
      <c r="AT139" s="183"/>
      <c r="AU139" s="183"/>
      <c r="AV139" s="149">
        <f>IF(AJ139&lt;=150000,AJ139,150000)</f>
        <v>0</v>
      </c>
      <c r="AW139" s="150"/>
      <c r="AX139" s="150"/>
      <c r="AY139" s="150"/>
      <c r="AZ139" s="150"/>
      <c r="BA139" s="150"/>
      <c r="BB139" s="150"/>
      <c r="BC139" s="150"/>
      <c r="BD139" s="150"/>
      <c r="BE139" s="150"/>
      <c r="BF139" s="150"/>
      <c r="BG139" s="150"/>
      <c r="BH139" s="150"/>
      <c r="BI139" s="150"/>
      <c r="BJ139" s="151"/>
      <c r="BP139" s="342" t="str">
        <f>IF(AJ139&gt;150000,"The maximum deduction allowed u/s 132 is ₹ 150,000.","")</f>
        <v/>
      </c>
      <c r="BQ139" s="343"/>
      <c r="BR139" s="343"/>
      <c r="BS139" s="343"/>
      <c r="BT139" s="343"/>
      <c r="BU139" s="343"/>
      <c r="BV139" s="343"/>
      <c r="BW139" s="343"/>
    </row>
    <row r="140" spans="2:75" ht="5.0999999999999996" customHeight="1" x14ac:dyDescent="0.25">
      <c r="B140" s="20"/>
      <c r="BJ140" s="26"/>
    </row>
    <row r="141" spans="2:75" ht="39.9" customHeight="1" x14ac:dyDescent="0.25">
      <c r="B141" s="20"/>
      <c r="C141" s="141" t="s">
        <v>199</v>
      </c>
      <c r="D141" s="178"/>
      <c r="E141" s="178"/>
      <c r="F141" s="178"/>
      <c r="G141" s="178"/>
      <c r="H141" s="178"/>
      <c r="I141" s="178"/>
      <c r="J141" s="178"/>
      <c r="K141" s="178"/>
      <c r="L141" s="178"/>
      <c r="M141" s="178"/>
      <c r="N141" s="185" t="s">
        <v>131</v>
      </c>
      <c r="O141" s="227"/>
      <c r="P141" s="227"/>
      <c r="Q141" s="227"/>
      <c r="R141" s="227"/>
      <c r="S141" s="227"/>
      <c r="T141" s="227"/>
      <c r="U141" s="227"/>
      <c r="V141" s="228"/>
      <c r="W141" s="141" t="s">
        <v>93</v>
      </c>
      <c r="X141" s="178"/>
      <c r="Y141" s="178"/>
      <c r="Z141" s="178"/>
      <c r="AA141" s="179"/>
      <c r="AB141" s="185" t="s">
        <v>43</v>
      </c>
      <c r="AC141" s="186"/>
      <c r="AD141" s="186"/>
      <c r="AE141" s="186"/>
      <c r="AF141" s="186"/>
      <c r="AG141" s="186"/>
      <c r="AH141" s="187"/>
      <c r="AI141" s="81" t="s">
        <v>5</v>
      </c>
      <c r="AJ141" s="144"/>
      <c r="AK141" s="145"/>
      <c r="AL141" s="145"/>
      <c r="AM141" s="145"/>
      <c r="AN141" s="145"/>
      <c r="AO141" s="145"/>
      <c r="AP141" s="145"/>
      <c r="AQ141" s="145"/>
      <c r="AR141" s="145"/>
      <c r="AS141" s="146"/>
      <c r="AT141" s="183"/>
      <c r="AU141" s="183"/>
      <c r="AV141" s="149">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50"/>
      <c r="AX141" s="150"/>
      <c r="AY141" s="150"/>
      <c r="AZ141" s="150"/>
      <c r="BA141" s="150"/>
      <c r="BB141" s="150"/>
      <c r="BC141" s="150"/>
      <c r="BD141" s="150"/>
      <c r="BE141" s="150"/>
      <c r="BF141" s="150"/>
      <c r="BG141" s="150"/>
      <c r="BH141" s="150"/>
      <c r="BI141" s="150"/>
      <c r="BJ141" s="151"/>
      <c r="BK141" s="43">
        <f>IF(AND(AV72&lt;&gt;0,AJ141&lt;&gt;0,AV72&gt;=BL141),AV72-BL141,0)</f>
        <v>0</v>
      </c>
      <c r="BL141" s="43">
        <f>IF(AND(AV72&lt;&gt;0,AJ141&lt;&gt;0),SUM(AV99,AV101,AV103,AV105,AV107,AV127,AV129,AV131,AV133,AV135,AV137,AV139,AV145,AV147,AV149,AV155,AV157),0)</f>
        <v>0</v>
      </c>
      <c r="BP141" s="152"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336"/>
      <c r="BR141" s="336"/>
      <c r="BS141" s="336"/>
      <c r="BT141" s="336"/>
      <c r="BU141" s="336"/>
      <c r="BV141" s="336"/>
    </row>
    <row r="142" spans="2:75" ht="5.0999999999999996" customHeight="1" x14ac:dyDescent="0.25">
      <c r="B142" s="20"/>
      <c r="BJ142" s="26"/>
    </row>
    <row r="143" spans="2:75" ht="39.9" customHeight="1" x14ac:dyDescent="0.25">
      <c r="B143" s="20"/>
      <c r="C143" s="141" t="s">
        <v>199</v>
      </c>
      <c r="D143" s="178"/>
      <c r="E143" s="178"/>
      <c r="F143" s="178"/>
      <c r="G143" s="178"/>
      <c r="H143" s="178"/>
      <c r="I143" s="178"/>
      <c r="J143" s="178"/>
      <c r="K143" s="178"/>
      <c r="L143" s="178"/>
      <c r="M143" s="178"/>
      <c r="N143" s="185" t="s">
        <v>131</v>
      </c>
      <c r="O143" s="227"/>
      <c r="P143" s="227"/>
      <c r="Q143" s="227"/>
      <c r="R143" s="227"/>
      <c r="S143" s="227"/>
      <c r="T143" s="227"/>
      <c r="U143" s="227"/>
      <c r="V143" s="228"/>
      <c r="W143" s="141" t="s">
        <v>93</v>
      </c>
      <c r="X143" s="178"/>
      <c r="Y143" s="178"/>
      <c r="Z143" s="178"/>
      <c r="AA143" s="179"/>
      <c r="AB143" s="185" t="s">
        <v>43</v>
      </c>
      <c r="AC143" s="186"/>
      <c r="AD143" s="186"/>
      <c r="AE143" s="186"/>
      <c r="AF143" s="186"/>
      <c r="AG143" s="186"/>
      <c r="AH143" s="187"/>
      <c r="AI143" s="81" t="s">
        <v>5</v>
      </c>
      <c r="AJ143" s="144"/>
      <c r="AK143" s="145"/>
      <c r="AL143" s="145"/>
      <c r="AM143" s="145"/>
      <c r="AN143" s="145"/>
      <c r="AO143" s="145"/>
      <c r="AP143" s="145"/>
      <c r="AQ143" s="145"/>
      <c r="AR143" s="145"/>
      <c r="AS143" s="146"/>
      <c r="AT143" s="183"/>
      <c r="AU143" s="183"/>
      <c r="AV143" s="149">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50"/>
      <c r="AX143" s="150"/>
      <c r="AY143" s="150"/>
      <c r="AZ143" s="150"/>
      <c r="BA143" s="150"/>
      <c r="BB143" s="150"/>
      <c r="BC143" s="150"/>
      <c r="BD143" s="150"/>
      <c r="BE143" s="150"/>
      <c r="BF143" s="150"/>
      <c r="BG143" s="150"/>
      <c r="BH143" s="150"/>
      <c r="BI143" s="150"/>
      <c r="BJ143" s="151"/>
      <c r="BK143" s="43">
        <f>IF(AND(AV72&lt;&gt;0,AJ143&lt;&gt;0,AV72&gt;=BL143),AV72-BL143,0)</f>
        <v>0</v>
      </c>
      <c r="BL143" s="43">
        <f>IF(AND(AV72&lt;&gt;0,AJ143&lt;&gt;0),SUM(AV99,AV101,AV103,AV105,AV107,AV127,AV129,AV131,AV133,AV135,AV137,AV139,AV145,AV147,AV149,AV155,AV157),0)</f>
        <v>0</v>
      </c>
      <c r="BP143" s="152"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336"/>
      <c r="BR143" s="336"/>
      <c r="BS143" s="336"/>
      <c r="BT143" s="336"/>
      <c r="BU143" s="336"/>
      <c r="BV143" s="336"/>
    </row>
    <row r="144" spans="2:75" ht="5.0999999999999996" customHeight="1" x14ac:dyDescent="0.25">
      <c r="B144" s="20"/>
      <c r="BJ144" s="26"/>
      <c r="BP144" s="154"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339"/>
      <c r="BR144" s="339"/>
      <c r="BS144" s="339"/>
      <c r="BT144" s="339"/>
      <c r="BU144" s="339"/>
      <c r="BV144" s="339"/>
      <c r="BW144" s="339"/>
    </row>
    <row r="145" spans="2:75" s="85" customFormat="1" ht="18" customHeight="1" x14ac:dyDescent="0.3">
      <c r="B145" s="84"/>
      <c r="C145" s="141" t="s">
        <v>201</v>
      </c>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3"/>
      <c r="AI145" s="81" t="s">
        <v>5</v>
      </c>
      <c r="AJ145" s="144"/>
      <c r="AK145" s="145"/>
      <c r="AL145" s="145"/>
      <c r="AM145" s="145"/>
      <c r="AN145" s="145"/>
      <c r="AO145" s="145"/>
      <c r="AP145" s="145"/>
      <c r="AQ145" s="145"/>
      <c r="AR145" s="145"/>
      <c r="AS145" s="146"/>
      <c r="AT145" s="147"/>
      <c r="AU145" s="148"/>
      <c r="AV145" s="149">
        <f>IF(AND(AJ145&lt;&gt;0,W24=0,AV60=0,AV91=0,AV135=0,AV137=0),MIN(ROUND(0.25*(K24+Q24),0),60000,IF(AJ145&gt;ROUND(0.1*(K24+Q24),0),AJ145-ROUND(0.1*(K24+Q24),0),0)),0)</f>
        <v>0</v>
      </c>
      <c r="AW145" s="150"/>
      <c r="AX145" s="150"/>
      <c r="AY145" s="150"/>
      <c r="AZ145" s="150"/>
      <c r="BA145" s="150"/>
      <c r="BB145" s="150"/>
      <c r="BC145" s="150"/>
      <c r="BD145" s="150"/>
      <c r="BE145" s="150"/>
      <c r="BF145" s="150"/>
      <c r="BG145" s="150"/>
      <c r="BH145" s="150"/>
      <c r="BI145" s="150"/>
      <c r="BJ145" s="151"/>
      <c r="BP145" s="339"/>
      <c r="BQ145" s="339"/>
      <c r="BR145" s="339"/>
      <c r="BS145" s="339"/>
      <c r="BT145" s="339"/>
      <c r="BU145" s="339"/>
      <c r="BV145" s="339"/>
      <c r="BW145" s="339"/>
    </row>
    <row r="146" spans="2:75" ht="5.0999999999999996" customHeight="1" x14ac:dyDescent="0.25">
      <c r="B146" s="20"/>
      <c r="BJ146" s="26"/>
      <c r="BP146" s="336"/>
      <c r="BQ146" s="336"/>
      <c r="BR146" s="336"/>
      <c r="BS146" s="336"/>
      <c r="BT146" s="336"/>
      <c r="BU146" s="336"/>
      <c r="BV146" s="336"/>
      <c r="BW146" s="336"/>
    </row>
    <row r="147" spans="2:75" ht="27.6" customHeight="1" x14ac:dyDescent="0.25">
      <c r="B147" s="20"/>
      <c r="C147" s="141" t="s">
        <v>202</v>
      </c>
      <c r="D147" s="142"/>
      <c r="E147" s="142"/>
      <c r="F147" s="142"/>
      <c r="G147" s="142"/>
      <c r="H147" s="142"/>
      <c r="I147" s="142"/>
      <c r="J147" s="142"/>
      <c r="K147" s="142"/>
      <c r="L147" s="142"/>
      <c r="M147" s="142"/>
      <c r="N147" s="142"/>
      <c r="O147" s="142"/>
      <c r="P147" s="142"/>
      <c r="Q147" s="142"/>
      <c r="R147" s="142"/>
      <c r="S147" s="142"/>
      <c r="T147" s="142"/>
      <c r="U147" s="142"/>
      <c r="V147" s="179"/>
      <c r="W147" s="141" t="s">
        <v>93</v>
      </c>
      <c r="X147" s="178"/>
      <c r="Y147" s="178"/>
      <c r="Z147" s="178"/>
      <c r="AA147" s="179"/>
      <c r="AB147" s="185" t="s">
        <v>43</v>
      </c>
      <c r="AC147" s="186"/>
      <c r="AD147" s="186"/>
      <c r="AE147" s="186"/>
      <c r="AF147" s="186"/>
      <c r="AG147" s="186"/>
      <c r="AH147" s="187"/>
      <c r="AI147" s="81" t="s">
        <v>5</v>
      </c>
      <c r="AJ147" s="144"/>
      <c r="AK147" s="145"/>
      <c r="AL147" s="145"/>
      <c r="AM147" s="145"/>
      <c r="AN147" s="145"/>
      <c r="AO147" s="145"/>
      <c r="AP147" s="145"/>
      <c r="AQ147" s="145"/>
      <c r="AR147" s="145"/>
      <c r="AS147" s="146"/>
      <c r="AT147" s="183"/>
      <c r="AU147" s="183"/>
      <c r="AV147" s="149">
        <f>IF(AB147="Other than Cash",IF(AJ147&lt;=AV72,AJ147,AV72),IF(AB147="Cash",IF(AJ147&lt;=2000,AJ147,0),0))</f>
        <v>0</v>
      </c>
      <c r="AW147" s="150"/>
      <c r="AX147" s="150"/>
      <c r="AY147" s="150"/>
      <c r="AZ147" s="150"/>
      <c r="BA147" s="150"/>
      <c r="BB147" s="150"/>
      <c r="BC147" s="150"/>
      <c r="BD147" s="150"/>
      <c r="BE147" s="150"/>
      <c r="BF147" s="150"/>
      <c r="BG147" s="150"/>
      <c r="BH147" s="150"/>
      <c r="BI147" s="150"/>
      <c r="BJ147" s="151"/>
      <c r="BP147" s="152" t="str">
        <f>IF(AND(AJ147&lt;&gt;0, OR(ISBLANK(AB147),AB147="SELECT")),"Please select the payment mode. ",IF(AND(AJ147&gt;2000, AB147="cash"),"Donations made in excess of ₹ 2000 in cash mode are not allowed for deduction u/s 135. ",""))</f>
        <v/>
      </c>
      <c r="BQ147" s="336"/>
      <c r="BR147" s="336"/>
      <c r="BS147" s="336"/>
      <c r="BT147" s="336"/>
      <c r="BU147" s="336"/>
      <c r="BV147" s="336"/>
      <c r="BW147" s="336"/>
    </row>
    <row r="148" spans="2:75" ht="5.0999999999999996" customHeight="1" x14ac:dyDescent="0.25">
      <c r="B148" s="20"/>
      <c r="BJ148" s="26"/>
    </row>
    <row r="149" spans="2:75" ht="24" customHeight="1" x14ac:dyDescent="0.25">
      <c r="B149" s="20"/>
      <c r="C149" s="141" t="s">
        <v>203</v>
      </c>
      <c r="D149" s="142"/>
      <c r="E149" s="142"/>
      <c r="F149" s="142"/>
      <c r="G149" s="142"/>
      <c r="H149" s="142"/>
      <c r="I149" s="142"/>
      <c r="J149" s="142"/>
      <c r="K149" s="142"/>
      <c r="L149" s="142"/>
      <c r="M149" s="142"/>
      <c r="N149" s="142"/>
      <c r="O149" s="142"/>
      <c r="P149" s="142"/>
      <c r="Q149" s="142"/>
      <c r="R149" s="142"/>
      <c r="S149" s="142"/>
      <c r="T149" s="142"/>
      <c r="U149" s="142"/>
      <c r="V149" s="179"/>
      <c r="W149" s="216" t="s">
        <v>93</v>
      </c>
      <c r="X149" s="217"/>
      <c r="Y149" s="217"/>
      <c r="Z149" s="217"/>
      <c r="AA149" s="218"/>
      <c r="AB149" s="185" t="s">
        <v>43</v>
      </c>
      <c r="AC149" s="186"/>
      <c r="AD149" s="186"/>
      <c r="AE149" s="186"/>
      <c r="AF149" s="186"/>
      <c r="AG149" s="186"/>
      <c r="AH149" s="187"/>
      <c r="AI149" s="81" t="s">
        <v>5</v>
      </c>
      <c r="AJ149" s="144"/>
      <c r="AK149" s="145"/>
      <c r="AL149" s="145"/>
      <c r="AM149" s="145"/>
      <c r="AN149" s="145"/>
      <c r="AO149" s="145"/>
      <c r="AP149" s="145"/>
      <c r="AQ149" s="145"/>
      <c r="AR149" s="145"/>
      <c r="AS149" s="146"/>
      <c r="AT149" s="183"/>
      <c r="AU149" s="183"/>
      <c r="AV149" s="149">
        <f>IF(AB149="Other than Cash",IF(AJ149&lt;=AV72,AJ149,AV72),0)</f>
        <v>0</v>
      </c>
      <c r="AW149" s="150"/>
      <c r="AX149" s="150"/>
      <c r="AY149" s="150"/>
      <c r="AZ149" s="150"/>
      <c r="BA149" s="150"/>
      <c r="BB149" s="150"/>
      <c r="BC149" s="150"/>
      <c r="BD149" s="150"/>
      <c r="BE149" s="150"/>
      <c r="BF149" s="150"/>
      <c r="BG149" s="150"/>
      <c r="BH149" s="150"/>
      <c r="BI149" s="150"/>
      <c r="BJ149" s="151"/>
      <c r="BP149" s="152" t="str">
        <f>IF(AND(AJ149&lt;&gt;0, OR(ISBLANK(AB149),AB149="SELECT")),"Please select the payment mode. ",IF(AND(AJ149&lt;&gt;0, AB149="cash"),"Donation to political parties in cash mode is not allowed for deduction u/s 137. ",""))</f>
        <v/>
      </c>
      <c r="BQ149" s="336"/>
      <c r="BR149" s="336"/>
      <c r="BS149" s="336"/>
      <c r="BT149" s="336"/>
      <c r="BU149" s="336"/>
      <c r="BV149" s="336"/>
      <c r="BW149" s="336"/>
    </row>
    <row r="150" spans="2:75" ht="5.0999999999999996" customHeight="1" x14ac:dyDescent="0.25">
      <c r="B150" s="20"/>
      <c r="BJ150" s="26"/>
      <c r="BP150" s="152" t="str">
        <f>IF(AND(AJ151&lt;&gt;0,SUM(AJ151,AJ153)&gt;AV70),"Please ensure that all the royality income are included as part of any other income in the section ""5. Income from Other Sources u/s 92."" ",IF(AND(AJ151&lt;&gt;0,AV151=300000),"The maximum deduction allowed u/s 151 is ₹ 300,000.",""))</f>
        <v/>
      </c>
      <c r="BQ150" s="153"/>
      <c r="BR150" s="153"/>
      <c r="BS150" s="153"/>
      <c r="BT150" s="153"/>
      <c r="BU150" s="153"/>
      <c r="BV150" s="153"/>
      <c r="BW150" s="153"/>
    </row>
    <row r="151" spans="2:75" s="85" customFormat="1" ht="18" customHeight="1" x14ac:dyDescent="0.3">
      <c r="B151" s="84"/>
      <c r="C151" s="141" t="s">
        <v>204</v>
      </c>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3"/>
      <c r="AI151" s="81" t="s">
        <v>5</v>
      </c>
      <c r="AJ151" s="144"/>
      <c r="AK151" s="145"/>
      <c r="AL151" s="145"/>
      <c r="AM151" s="145"/>
      <c r="AN151" s="145"/>
      <c r="AO151" s="145"/>
      <c r="AP151" s="145"/>
      <c r="AQ151" s="145"/>
      <c r="AR151" s="145"/>
      <c r="AS151" s="146"/>
      <c r="AT151" s="147"/>
      <c r="AU151" s="148"/>
      <c r="AV151" s="149">
        <f>IF(AND(AJ151&lt;&gt;0,SUM(AJ151,AJ153)&lt;=AV70),IF(AJ151&lt;=300000,AJ151,300000),0)</f>
        <v>0</v>
      </c>
      <c r="AW151" s="150"/>
      <c r="AX151" s="150"/>
      <c r="AY151" s="150"/>
      <c r="AZ151" s="150"/>
      <c r="BA151" s="150"/>
      <c r="BB151" s="150"/>
      <c r="BC151" s="150"/>
      <c r="BD151" s="150"/>
      <c r="BE151" s="150"/>
      <c r="BF151" s="150"/>
      <c r="BG151" s="150"/>
      <c r="BH151" s="150"/>
      <c r="BI151" s="150"/>
      <c r="BJ151" s="151"/>
      <c r="BP151" s="153"/>
      <c r="BQ151" s="153"/>
      <c r="BR151" s="153"/>
      <c r="BS151" s="153"/>
      <c r="BT151" s="153"/>
      <c r="BU151" s="153"/>
      <c r="BV151" s="153"/>
      <c r="BW151" s="153"/>
    </row>
    <row r="152" spans="2:75" ht="5.0999999999999996" customHeight="1" x14ac:dyDescent="0.25">
      <c r="B152" s="20"/>
      <c r="BJ152" s="26"/>
      <c r="BP152" s="153"/>
      <c r="BQ152" s="153"/>
      <c r="BR152" s="153"/>
      <c r="BS152" s="153"/>
      <c r="BT152" s="153"/>
      <c r="BU152" s="153"/>
      <c r="BV152" s="153"/>
      <c r="BW152" s="153"/>
    </row>
    <row r="153" spans="2:75" s="85" customFormat="1" ht="18" customHeight="1" x14ac:dyDescent="0.3">
      <c r="B153" s="84"/>
      <c r="C153" s="141" t="s">
        <v>205</v>
      </c>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3"/>
      <c r="AI153" s="81" t="s">
        <v>5</v>
      </c>
      <c r="AJ153" s="144"/>
      <c r="AK153" s="145"/>
      <c r="AL153" s="145"/>
      <c r="AM153" s="145"/>
      <c r="AN153" s="145"/>
      <c r="AO153" s="145"/>
      <c r="AP153" s="145"/>
      <c r="AQ153" s="145"/>
      <c r="AR153" s="145"/>
      <c r="AS153" s="146"/>
      <c r="AT153" s="147"/>
      <c r="AU153" s="148"/>
      <c r="AV153" s="149">
        <f>IF(AND(AJ153&lt;&gt;0,SUM(AJ151,AJ153)&lt;=AV70),IF(AJ153&lt;=300000,AJ153,300000),0)</f>
        <v>0</v>
      </c>
      <c r="AW153" s="150"/>
      <c r="AX153" s="150"/>
      <c r="AY153" s="150"/>
      <c r="AZ153" s="150"/>
      <c r="BA153" s="150"/>
      <c r="BB153" s="150"/>
      <c r="BC153" s="150"/>
      <c r="BD153" s="150"/>
      <c r="BE153" s="150"/>
      <c r="BF153" s="150"/>
      <c r="BG153" s="150"/>
      <c r="BH153" s="150"/>
      <c r="BI153" s="150"/>
      <c r="BJ153" s="151"/>
      <c r="BP153" s="154" t="str">
        <f>IF(AND(AJ153&lt;&gt;0,SUM(AJ151,AJ153)&gt;AV70),"Please ensure that all the royality income are included as part of any other income in the section ""5. Income from Other Sources u/s 92."" ",IF(AND(AJ153&lt;&gt;0,AV153=300000),"The maximum deduction allowed u/s 152 is ₹ 300,000.",""))</f>
        <v/>
      </c>
      <c r="BQ153" s="155"/>
      <c r="BR153" s="155"/>
      <c r="BS153" s="155"/>
      <c r="BT153" s="155"/>
      <c r="BU153" s="155"/>
      <c r="BV153" s="155"/>
      <c r="BW153" s="155"/>
    </row>
    <row r="154" spans="2:75" ht="5.0999999999999996" customHeight="1" x14ac:dyDescent="0.25">
      <c r="B154" s="20"/>
      <c r="BJ154" s="26"/>
      <c r="BP154" s="156"/>
      <c r="BQ154" s="156"/>
      <c r="BR154" s="156"/>
      <c r="BS154" s="156"/>
      <c r="BT154" s="156"/>
      <c r="BU154" s="156"/>
      <c r="BV154" s="156"/>
      <c r="BW154" s="156"/>
    </row>
    <row r="155" spans="2:75" ht="18" customHeight="1" x14ac:dyDescent="0.25">
      <c r="B155" s="20"/>
      <c r="C155" s="141" t="s">
        <v>206</v>
      </c>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9"/>
      <c r="AI155" s="81" t="s">
        <v>5</v>
      </c>
      <c r="AJ155" s="180">
        <f>IF(AV64&lt;&gt;0, AV64,0)</f>
        <v>0</v>
      </c>
      <c r="AK155" s="181"/>
      <c r="AL155" s="181"/>
      <c r="AM155" s="181"/>
      <c r="AN155" s="181"/>
      <c r="AO155" s="181"/>
      <c r="AP155" s="181"/>
      <c r="AQ155" s="181"/>
      <c r="AR155" s="181"/>
      <c r="AS155" s="182"/>
      <c r="AT155" s="183"/>
      <c r="AU155" s="183"/>
      <c r="AV155" s="149">
        <f>IF(AJ155&lt;=10000,AJ155,10000)</f>
        <v>0</v>
      </c>
      <c r="AW155" s="150"/>
      <c r="AX155" s="150"/>
      <c r="AY155" s="150"/>
      <c r="AZ155" s="150"/>
      <c r="BA155" s="150"/>
      <c r="BB155" s="150"/>
      <c r="BC155" s="150"/>
      <c r="BD155" s="150"/>
      <c r="BE155" s="150"/>
      <c r="BF155" s="150"/>
      <c r="BG155" s="150"/>
      <c r="BH155" s="150"/>
      <c r="BI155" s="150"/>
      <c r="BJ155" s="151"/>
      <c r="BP155" s="337" t="str">
        <f>IF(AJ155&gt;10000,"The maximum deduction allowed u/s 153 is ₹ 10,000.","")</f>
        <v/>
      </c>
      <c r="BQ155" s="337"/>
      <c r="BR155" s="337"/>
      <c r="BS155" s="337"/>
      <c r="BT155" s="337"/>
      <c r="BU155" s="337"/>
      <c r="BV155" s="337"/>
      <c r="BW155" s="337"/>
    </row>
    <row r="156" spans="2:75" ht="5.0999999999999996" customHeight="1" x14ac:dyDescent="0.25">
      <c r="B156" s="20"/>
      <c r="BJ156" s="26"/>
    </row>
    <row r="157" spans="2:75" ht="25.5" customHeight="1" x14ac:dyDescent="0.25">
      <c r="B157" s="20"/>
      <c r="C157" s="141" t="s">
        <v>207</v>
      </c>
      <c r="D157" s="142"/>
      <c r="E157" s="142"/>
      <c r="F157" s="142"/>
      <c r="G157" s="142"/>
      <c r="H157" s="142"/>
      <c r="I157" s="142"/>
      <c r="J157" s="142"/>
      <c r="K157" s="142"/>
      <c r="L157" s="142"/>
      <c r="M157" s="142"/>
      <c r="N157" s="142"/>
      <c r="O157" s="142"/>
      <c r="P157" s="142"/>
      <c r="Q157" s="142"/>
      <c r="R157" s="142"/>
      <c r="S157" s="142"/>
      <c r="T157" s="142"/>
      <c r="U157" s="142"/>
      <c r="V157" s="142"/>
      <c r="W157" s="142"/>
      <c r="X157" s="143"/>
      <c r="Y157" s="301" t="s">
        <v>43</v>
      </c>
      <c r="Z157" s="302"/>
      <c r="AA157" s="302"/>
      <c r="AB157" s="302"/>
      <c r="AC157" s="302"/>
      <c r="AD157" s="302"/>
      <c r="AE157" s="302"/>
      <c r="AF157" s="303"/>
      <c r="AG157" s="303"/>
      <c r="AH157" s="304"/>
      <c r="AI157" s="81" t="s">
        <v>5</v>
      </c>
      <c r="AJ157" s="180">
        <f>IF( Y157="Self with Severe Disability", 125000, IF( Y157="Self with Disability", 75000,0))</f>
        <v>0</v>
      </c>
      <c r="AK157" s="181"/>
      <c r="AL157" s="181"/>
      <c r="AM157" s="181"/>
      <c r="AN157" s="181"/>
      <c r="AO157" s="181"/>
      <c r="AP157" s="181"/>
      <c r="AQ157" s="181"/>
      <c r="AR157" s="181"/>
      <c r="AS157" s="182"/>
      <c r="AT157" s="183"/>
      <c r="AU157" s="183"/>
      <c r="AV157" s="149">
        <f>AJ157</f>
        <v>0</v>
      </c>
      <c r="AW157" s="150"/>
      <c r="AX157" s="150"/>
      <c r="AY157" s="150"/>
      <c r="AZ157" s="150"/>
      <c r="BA157" s="150"/>
      <c r="BB157" s="150"/>
      <c r="BC157" s="150"/>
      <c r="BD157" s="150"/>
      <c r="BE157" s="150"/>
      <c r="BF157" s="150"/>
      <c r="BG157" s="150"/>
      <c r="BH157" s="150"/>
      <c r="BI157" s="150"/>
      <c r="BJ157" s="151"/>
      <c r="BP157" s="152" t="str">
        <f>IF(AV157&lt;&gt;0, "Please ensure to submit FORM NO. 10-IA.","")</f>
        <v/>
      </c>
      <c r="BQ157" s="336"/>
      <c r="BR157" s="336"/>
      <c r="BS157" s="336"/>
      <c r="BT157" s="336"/>
      <c r="BU157" s="336"/>
      <c r="BV157" s="336"/>
      <c r="BW157" s="336"/>
    </row>
    <row r="158" spans="2:75" ht="5.0999999999999996" customHeight="1" x14ac:dyDescent="0.25">
      <c r="B158" s="20"/>
      <c r="BJ158" s="26"/>
    </row>
    <row r="159" spans="2:75" ht="15" customHeight="1" x14ac:dyDescent="0.25">
      <c r="B159" s="22"/>
      <c r="C159" s="305" t="s">
        <v>92</v>
      </c>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c r="AA159" s="230"/>
      <c r="AB159" s="230"/>
      <c r="AC159" s="230"/>
      <c r="AD159" s="230"/>
      <c r="AE159" s="230"/>
      <c r="AF159" s="230"/>
      <c r="AG159" s="230"/>
      <c r="AH159" s="231"/>
      <c r="AI159" s="81" t="s">
        <v>5</v>
      </c>
      <c r="AJ159" s="180">
        <f>SUM(AJ99,AJ101,AJ103,IF(AJ105&gt;AV105,AJ105,AV105),AJ107,AJ127,AJ129,AJ131,AJ133,AJ135,AJ137,AJ139,AJ141,AJ143,AJ145,AJ147,AJ149,AJ151,AJ153,AJ155,AJ157)</f>
        <v>0</v>
      </c>
      <c r="AK159" s="181"/>
      <c r="AL159" s="181"/>
      <c r="AM159" s="181"/>
      <c r="AN159" s="181"/>
      <c r="AO159" s="181"/>
      <c r="AP159" s="181"/>
      <c r="AQ159" s="181"/>
      <c r="AR159" s="181"/>
      <c r="AS159" s="182"/>
      <c r="AT159" s="183"/>
      <c r="AU159" s="183"/>
      <c r="AV159" s="149">
        <f>SUM(AV99,AV101,AV103,AV105,AV107,AV127,AV129,AV131,AV133,AV135,AV137,AV139,AV141,AV143,AV145,AV147,AV149,AV151,AV153,AV155,AV157)</f>
        <v>0</v>
      </c>
      <c r="AW159" s="150"/>
      <c r="AX159" s="150"/>
      <c r="AY159" s="150"/>
      <c r="AZ159" s="150"/>
      <c r="BA159" s="150"/>
      <c r="BB159" s="150"/>
      <c r="BC159" s="150"/>
      <c r="BD159" s="150"/>
      <c r="BE159" s="150"/>
      <c r="BF159" s="150"/>
      <c r="BG159" s="150"/>
      <c r="BH159" s="150"/>
      <c r="BI159" s="150"/>
      <c r="BJ159" s="151"/>
      <c r="BP159" s="152" t="str">
        <f>IF(AV72&lt;AV159,"Total deductions under chapter VIII cannot exceed Gross Total Income.","")</f>
        <v/>
      </c>
      <c r="BQ159" s="152"/>
      <c r="BR159" s="152"/>
      <c r="BS159" s="152"/>
      <c r="BT159" s="152"/>
      <c r="BU159" s="152"/>
      <c r="BV159" s="152"/>
      <c r="BW159" s="152"/>
    </row>
    <row r="160" spans="2:75" ht="6.9" customHeight="1" x14ac:dyDescent="0.25">
      <c r="B160" s="20"/>
      <c r="BJ160" s="26"/>
      <c r="BP160" s="152"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52"/>
      <c r="BR160" s="152"/>
      <c r="BS160" s="152"/>
      <c r="BT160" s="152"/>
      <c r="BU160" s="152"/>
      <c r="BV160" s="152"/>
      <c r="BW160" s="152"/>
    </row>
    <row r="161" spans="2:75" ht="18" customHeight="1" x14ac:dyDescent="0.25">
      <c r="B161" s="229" t="s">
        <v>135</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9"/>
      <c r="AU161" s="81" t="s">
        <v>5</v>
      </c>
      <c r="AV161" s="149">
        <f>IF(AV72&gt;AV159,MROUND(ABS(AV72-AV159), 10),0)</f>
        <v>0</v>
      </c>
      <c r="AW161" s="150"/>
      <c r="AX161" s="150"/>
      <c r="AY161" s="150"/>
      <c r="AZ161" s="150"/>
      <c r="BA161" s="150"/>
      <c r="BB161" s="150"/>
      <c r="BC161" s="150"/>
      <c r="BD161" s="150"/>
      <c r="BE161" s="150"/>
      <c r="BF161" s="150"/>
      <c r="BG161" s="150"/>
      <c r="BH161" s="150"/>
      <c r="BI161" s="150"/>
      <c r="BJ161" s="151"/>
      <c r="BP161" s="152"/>
      <c r="BQ161" s="152"/>
      <c r="BR161" s="152"/>
      <c r="BS161" s="152"/>
      <c r="BT161" s="152"/>
      <c r="BU161" s="152"/>
      <c r="BV161" s="152"/>
      <c r="BW161" s="152"/>
    </row>
    <row r="162" spans="2:75" ht="8.1" customHeight="1" x14ac:dyDescent="0.25">
      <c r="P162" s="43" t="s">
        <v>128</v>
      </c>
      <c r="AV162" s="43" t="s">
        <v>215</v>
      </c>
      <c r="BP162" s="152"/>
      <c r="BQ162" s="152"/>
      <c r="BR162" s="152"/>
      <c r="BS162" s="152"/>
      <c r="BT162" s="152"/>
      <c r="BU162" s="152"/>
      <c r="BV162" s="152"/>
      <c r="BW162" s="152"/>
    </row>
    <row r="163" spans="2:75" x14ac:dyDescent="0.25">
      <c r="B163" s="229" t="s">
        <v>97</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9"/>
    </row>
    <row r="164" spans="2:75" ht="5.25" customHeight="1" x14ac:dyDescent="0.25">
      <c r="B164" s="20"/>
      <c r="BJ164" s="26"/>
    </row>
    <row r="165" spans="2:75" x14ac:dyDescent="0.25">
      <c r="B165" s="20"/>
      <c r="C165" s="169" t="s">
        <v>96</v>
      </c>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81" t="s">
        <v>5</v>
      </c>
      <c r="AV165" s="170">
        <f>ROUND(IF(AV161&lt;= 250000,0, IF(AND(AV161&gt; 250000,AV161&lt;= 500000),ABS(AV161- 250000)*0.05, IF(AND(AV161&gt; 500000,AV161&lt;= 1000000),12500+ ABS(AV161- 500000)*0.2, IF(AV161&gt; 1000000, 112500+ABS(AV161- 1000000)*0.3,0)))),0)</f>
        <v>0</v>
      </c>
      <c r="AW165" s="170"/>
      <c r="AX165" s="170"/>
      <c r="AY165" s="170"/>
      <c r="AZ165" s="170"/>
      <c r="BA165" s="170"/>
      <c r="BB165" s="170"/>
      <c r="BC165" s="170"/>
      <c r="BD165" s="170"/>
      <c r="BE165" s="170"/>
      <c r="BF165" s="170"/>
      <c r="BG165" s="170"/>
      <c r="BH165" s="170"/>
      <c r="BI165" s="170"/>
      <c r="BJ165" s="170"/>
    </row>
    <row r="166" spans="2:75" ht="5.25" customHeight="1" x14ac:dyDescent="0.25">
      <c r="B166" s="20"/>
      <c r="BJ166" s="26"/>
    </row>
    <row r="167" spans="2:75" x14ac:dyDescent="0.25">
      <c r="B167" s="20"/>
      <c r="C167" s="169" t="s">
        <v>208</v>
      </c>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81" t="s">
        <v>5</v>
      </c>
      <c r="AV167" s="170">
        <f>IF(AND(AV161&lt;=500000, AV161&lt;&gt;0),IF(AV165&lt;=12500,AV165,12500),0)</f>
        <v>0</v>
      </c>
      <c r="AW167" s="170"/>
      <c r="AX167" s="170"/>
      <c r="AY167" s="170"/>
      <c r="AZ167" s="170"/>
      <c r="BA167" s="170"/>
      <c r="BB167" s="170"/>
      <c r="BC167" s="170"/>
      <c r="BD167" s="170"/>
      <c r="BE167" s="170"/>
      <c r="BF167" s="170"/>
      <c r="BG167" s="170"/>
      <c r="BH167" s="170"/>
      <c r="BI167" s="170"/>
      <c r="BJ167" s="170"/>
    </row>
    <row r="168" spans="2:75" ht="5.25" customHeight="1" x14ac:dyDescent="0.25">
      <c r="B168" s="20"/>
      <c r="BJ168" s="26"/>
    </row>
    <row r="169" spans="2:75" x14ac:dyDescent="0.25">
      <c r="B169" s="20"/>
      <c r="C169" s="169" t="s">
        <v>136</v>
      </c>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81" t="s">
        <v>5</v>
      </c>
      <c r="AV169" s="170">
        <f>IF((AV165&lt;AV167),0,ROUND(ABS(AV165-AV167),0))</f>
        <v>0</v>
      </c>
      <c r="AW169" s="170"/>
      <c r="AX169" s="170"/>
      <c r="AY169" s="170"/>
      <c r="AZ169" s="170"/>
      <c r="BA169" s="170"/>
      <c r="BB169" s="170"/>
      <c r="BC169" s="170"/>
      <c r="BD169" s="170"/>
      <c r="BE169" s="170"/>
      <c r="BF169" s="170"/>
      <c r="BG169" s="170"/>
      <c r="BH169" s="170"/>
      <c r="BI169" s="170"/>
      <c r="BJ169" s="170"/>
    </row>
    <row r="170" spans="2:75" ht="5.25" customHeight="1" x14ac:dyDescent="0.25">
      <c r="B170" s="20"/>
      <c r="BJ170" s="26"/>
    </row>
    <row r="171" spans="2:75" x14ac:dyDescent="0.25">
      <c r="B171" s="20"/>
      <c r="C171" s="169" t="s">
        <v>111</v>
      </c>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81" t="s">
        <v>5</v>
      </c>
      <c r="AV171" s="170">
        <f>IF(AV169&lt;&gt;0,ROUND(AV169*0.04,0),0)</f>
        <v>0</v>
      </c>
      <c r="AW171" s="170"/>
      <c r="AX171" s="170"/>
      <c r="AY171" s="170"/>
      <c r="AZ171" s="170"/>
      <c r="BA171" s="170"/>
      <c r="BB171" s="170"/>
      <c r="BC171" s="170"/>
      <c r="BD171" s="170"/>
      <c r="BE171" s="170"/>
      <c r="BF171" s="170"/>
      <c r="BG171" s="170"/>
      <c r="BH171" s="170"/>
      <c r="BI171" s="170"/>
      <c r="BJ171" s="170"/>
    </row>
    <row r="172" spans="2:75" ht="5.25" customHeight="1" x14ac:dyDescent="0.25">
      <c r="B172" s="20"/>
      <c r="BJ172" s="26"/>
    </row>
    <row r="173" spans="2:75" x14ac:dyDescent="0.25">
      <c r="B173" s="20"/>
      <c r="C173" s="169" t="s">
        <v>213</v>
      </c>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81" t="s">
        <v>5</v>
      </c>
      <c r="AV173" s="170">
        <f>AV169+AV171</f>
        <v>0</v>
      </c>
      <c r="AW173" s="170"/>
      <c r="AX173" s="170"/>
      <c r="AY173" s="170"/>
      <c r="AZ173" s="170"/>
      <c r="BA173" s="170"/>
      <c r="BB173" s="170"/>
      <c r="BC173" s="170"/>
      <c r="BD173" s="170"/>
      <c r="BE173" s="170"/>
      <c r="BF173" s="170"/>
      <c r="BG173" s="170"/>
      <c r="BH173" s="170"/>
      <c r="BI173" s="170"/>
      <c r="BJ173" s="170"/>
    </row>
    <row r="174" spans="2:75" ht="5.25" customHeight="1" x14ac:dyDescent="0.25">
      <c r="B174" s="20"/>
      <c r="BJ174" s="26"/>
    </row>
    <row r="175" spans="2:75" x14ac:dyDescent="0.25">
      <c r="B175" s="20"/>
      <c r="C175" s="169" t="s">
        <v>209</v>
      </c>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81" t="s">
        <v>5</v>
      </c>
      <c r="AV175" s="170">
        <f>IF(ISNUMBER('Form 10E - Old Scheme'!AF79),'Form 10E - Old Scheme'!AF79,0)</f>
        <v>0</v>
      </c>
      <c r="AW175" s="170"/>
      <c r="AX175" s="170"/>
      <c r="AY175" s="170"/>
      <c r="AZ175" s="170"/>
      <c r="BA175" s="170"/>
      <c r="BB175" s="170"/>
      <c r="BC175" s="170"/>
      <c r="BD175" s="170"/>
      <c r="BE175" s="170"/>
      <c r="BF175" s="170"/>
      <c r="BG175" s="170"/>
      <c r="BH175" s="170"/>
      <c r="BI175" s="170"/>
      <c r="BJ175" s="170"/>
    </row>
    <row r="176" spans="2:75" ht="5.25" customHeight="1" x14ac:dyDescent="0.25">
      <c r="B176" s="20"/>
      <c r="BJ176" s="26"/>
    </row>
    <row r="177" spans="2:71" x14ac:dyDescent="0.25">
      <c r="B177" s="299" t="str">
        <f>IF(AV175&gt;AV173, "10. Refund (f - e) u/s 431  ",   "10. Balance Tax After Relief / Amount Payable  (e - f)  ")</f>
        <v xml:space="preserve">10. Balance Tax After Relief / Amount Payable  (e - f)  </v>
      </c>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81" t="s">
        <v>5</v>
      </c>
      <c r="AV177" s="170" t="str">
        <f>IF(AV173&lt;&gt;AV175,MROUND(ABS(AV173-AV175),10),"NIL")</f>
        <v>NIL</v>
      </c>
      <c r="AW177" s="170"/>
      <c r="AX177" s="170"/>
      <c r="AY177" s="170"/>
      <c r="AZ177" s="170"/>
      <c r="BA177" s="170"/>
      <c r="BB177" s="170"/>
      <c r="BC177" s="170"/>
      <c r="BD177" s="170"/>
      <c r="BE177" s="170"/>
      <c r="BF177" s="170"/>
      <c r="BG177" s="170"/>
      <c r="BH177" s="170"/>
      <c r="BI177" s="170"/>
      <c r="BJ177" s="170"/>
      <c r="BR177" s="12" t="s">
        <v>121</v>
      </c>
      <c r="BS177" s="27"/>
    </row>
    <row r="178" spans="2:71" ht="6.9" customHeight="1" x14ac:dyDescent="0.25"/>
    <row r="179" spans="2:71" x14ac:dyDescent="0.25">
      <c r="B179" s="252" t="s">
        <v>210</v>
      </c>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c r="AA179" s="253"/>
      <c r="AB179" s="253"/>
      <c r="AC179" s="253"/>
      <c r="AD179" s="253"/>
      <c r="AE179" s="253"/>
      <c r="AF179" s="253"/>
      <c r="AG179" s="253"/>
      <c r="AH179" s="253"/>
      <c r="AI179" s="253"/>
      <c r="AJ179" s="253"/>
      <c r="AK179" s="253"/>
      <c r="AL179" s="253"/>
      <c r="AM179" s="253"/>
      <c r="AN179" s="253"/>
      <c r="AO179" s="253"/>
      <c r="AP179" s="253"/>
      <c r="AQ179" s="253"/>
      <c r="AR179" s="253"/>
      <c r="AS179" s="253"/>
      <c r="AT179" s="253"/>
      <c r="AU179" s="253"/>
      <c r="AV179" s="253"/>
      <c r="AW179" s="253"/>
      <c r="AX179" s="253"/>
      <c r="AY179" s="253"/>
      <c r="AZ179" s="253"/>
      <c r="BA179" s="253"/>
      <c r="BB179" s="253"/>
      <c r="BC179" s="253"/>
      <c r="BD179" s="253"/>
      <c r="BE179" s="253"/>
      <c r="BF179" s="253"/>
      <c r="BG179" s="253"/>
      <c r="BH179" s="253"/>
      <c r="BI179" s="253"/>
      <c r="BJ179" s="300"/>
    </row>
    <row r="180" spans="2:71" ht="4.5" customHeight="1" x14ac:dyDescent="0.25">
      <c r="B180" s="20"/>
      <c r="BJ180" s="26"/>
    </row>
    <row r="181" spans="2:71" x14ac:dyDescent="0.25">
      <c r="B181" s="20"/>
      <c r="C181" s="206" t="s">
        <v>0</v>
      </c>
      <c r="D181" s="206"/>
      <c r="E181" s="206"/>
      <c r="F181" s="206"/>
      <c r="G181" s="206"/>
      <c r="H181" s="206"/>
      <c r="I181" s="206"/>
      <c r="J181" s="206"/>
      <c r="K181" s="206"/>
      <c r="L181" s="206"/>
      <c r="M181" s="206"/>
      <c r="N181" s="206"/>
      <c r="O181" s="206" t="s">
        <v>98</v>
      </c>
      <c r="P181" s="206"/>
      <c r="Q181" s="206"/>
      <c r="R181" s="206"/>
      <c r="S181" s="206"/>
      <c r="T181" s="206"/>
      <c r="U181" s="206"/>
      <c r="V181" s="206"/>
      <c r="W181" s="206" t="s">
        <v>0</v>
      </c>
      <c r="X181" s="206"/>
      <c r="Y181" s="206"/>
      <c r="Z181" s="206"/>
      <c r="AA181" s="206"/>
      <c r="AB181" s="206"/>
      <c r="AC181" s="206"/>
      <c r="AD181" s="206"/>
      <c r="AE181" s="206"/>
      <c r="AF181" s="206"/>
      <c r="AG181" s="206"/>
      <c r="AH181" s="206"/>
      <c r="AI181" s="206" t="s">
        <v>98</v>
      </c>
      <c r="AJ181" s="206"/>
      <c r="AK181" s="206"/>
      <c r="AL181" s="206"/>
      <c r="AM181" s="206"/>
      <c r="AN181" s="206"/>
      <c r="AO181" s="206"/>
      <c r="AP181" s="206"/>
      <c r="AQ181" s="206" t="s">
        <v>0</v>
      </c>
      <c r="AR181" s="206"/>
      <c r="AS181" s="206"/>
      <c r="AT181" s="206"/>
      <c r="AU181" s="206"/>
      <c r="AV181" s="206"/>
      <c r="AW181" s="206"/>
      <c r="AX181" s="206"/>
      <c r="AY181" s="206"/>
      <c r="AZ181" s="206"/>
      <c r="BA181" s="206"/>
      <c r="BB181" s="206"/>
      <c r="BC181" s="206" t="s">
        <v>98</v>
      </c>
      <c r="BD181" s="206"/>
      <c r="BE181" s="206"/>
      <c r="BF181" s="206"/>
      <c r="BG181" s="206"/>
      <c r="BH181" s="206"/>
      <c r="BI181" s="206"/>
      <c r="BJ181" s="206"/>
      <c r="BP181" s="43">
        <f>SUM(O182,O183,O184,O185,O186,AI182,AI183,AI184,BC184,BC185)</f>
        <v>0</v>
      </c>
      <c r="BQ181" s="43">
        <f>IF(AND(SIGN(AV175-AV173)&lt;&gt;1,ISNUMBER(AV177)),IF(SIGN(BP181-AV177)&lt;&gt;1,ABS(BP181-AV177),0),0)</f>
        <v>0</v>
      </c>
      <c r="BR181" s="43">
        <f>IF(ISNUMBER(BQ181),MROUND(BQ181/4,100),0)</f>
        <v>0</v>
      </c>
    </row>
    <row r="182" spans="2:71" x14ac:dyDescent="0.25">
      <c r="B182" s="20"/>
      <c r="C182" s="307" t="s">
        <v>28</v>
      </c>
      <c r="D182" s="308"/>
      <c r="E182" s="308"/>
      <c r="F182" s="308"/>
      <c r="G182" s="308"/>
      <c r="H182" s="308"/>
      <c r="I182" s="308"/>
      <c r="J182" s="308"/>
      <c r="K182" s="188">
        <v>2025</v>
      </c>
      <c r="L182" s="188"/>
      <c r="M182" s="188"/>
      <c r="N182" s="189"/>
      <c r="O182" s="145"/>
      <c r="P182" s="145"/>
      <c r="Q182" s="145"/>
      <c r="R182" s="145"/>
      <c r="S182" s="145"/>
      <c r="T182" s="145"/>
      <c r="U182" s="145"/>
      <c r="V182" s="146"/>
      <c r="W182" s="307" t="s">
        <v>33</v>
      </c>
      <c r="X182" s="308"/>
      <c r="Y182" s="308"/>
      <c r="Z182" s="308"/>
      <c r="AA182" s="308"/>
      <c r="AB182" s="308"/>
      <c r="AC182" s="308"/>
      <c r="AD182" s="308"/>
      <c r="AE182" s="188">
        <v>2025</v>
      </c>
      <c r="AF182" s="188"/>
      <c r="AG182" s="188"/>
      <c r="AH182" s="189"/>
      <c r="AI182" s="145"/>
      <c r="AJ182" s="145"/>
      <c r="AK182" s="145"/>
      <c r="AL182" s="145"/>
      <c r="AM182" s="145"/>
      <c r="AN182" s="145"/>
      <c r="AO182" s="145"/>
      <c r="AP182" s="146"/>
      <c r="AQ182" s="306" t="s">
        <v>26</v>
      </c>
      <c r="AR182" s="306"/>
      <c r="AS182" s="306"/>
      <c r="AT182" s="306"/>
      <c r="AU182" s="306"/>
      <c r="AV182" s="306"/>
      <c r="AW182" s="306"/>
      <c r="AX182" s="307"/>
      <c r="AY182" s="188">
        <v>2026</v>
      </c>
      <c r="AZ182" s="188"/>
      <c r="BA182" s="188"/>
      <c r="BB182" s="189"/>
      <c r="BC182" s="181">
        <f>BR181</f>
        <v>0</v>
      </c>
      <c r="BD182" s="181"/>
      <c r="BE182" s="181"/>
      <c r="BF182" s="181"/>
      <c r="BG182" s="181"/>
      <c r="BH182" s="181"/>
      <c r="BI182" s="181"/>
      <c r="BJ182" s="182"/>
    </row>
    <row r="183" spans="2:71" x14ac:dyDescent="0.25">
      <c r="B183" s="20"/>
      <c r="C183" s="307" t="s">
        <v>29</v>
      </c>
      <c r="D183" s="308"/>
      <c r="E183" s="308"/>
      <c r="F183" s="308"/>
      <c r="G183" s="308"/>
      <c r="H183" s="308"/>
      <c r="I183" s="308"/>
      <c r="J183" s="308"/>
      <c r="K183" s="188">
        <v>2025</v>
      </c>
      <c r="L183" s="188"/>
      <c r="M183" s="188"/>
      <c r="N183" s="189"/>
      <c r="O183" s="145"/>
      <c r="P183" s="145"/>
      <c r="Q183" s="145"/>
      <c r="R183" s="145"/>
      <c r="S183" s="145"/>
      <c r="T183" s="145"/>
      <c r="U183" s="145"/>
      <c r="V183" s="146"/>
      <c r="W183" s="307" t="s">
        <v>24</v>
      </c>
      <c r="X183" s="308"/>
      <c r="Y183" s="308"/>
      <c r="Z183" s="308"/>
      <c r="AA183" s="308"/>
      <c r="AB183" s="308"/>
      <c r="AC183" s="308"/>
      <c r="AD183" s="308"/>
      <c r="AE183" s="188">
        <v>2025</v>
      </c>
      <c r="AF183" s="188"/>
      <c r="AG183" s="188"/>
      <c r="AH183" s="189"/>
      <c r="AI183" s="145"/>
      <c r="AJ183" s="145"/>
      <c r="AK183" s="145"/>
      <c r="AL183" s="145"/>
      <c r="AM183" s="145"/>
      <c r="AN183" s="145"/>
      <c r="AO183" s="145"/>
      <c r="AP183" s="146"/>
      <c r="AQ183" s="306" t="s">
        <v>25</v>
      </c>
      <c r="AR183" s="306"/>
      <c r="AS183" s="306"/>
      <c r="AT183" s="306"/>
      <c r="AU183" s="306"/>
      <c r="AV183" s="306"/>
      <c r="AW183" s="306"/>
      <c r="AX183" s="307"/>
      <c r="AY183" s="188">
        <v>2026</v>
      </c>
      <c r="AZ183" s="188"/>
      <c r="BA183" s="188"/>
      <c r="BB183" s="189"/>
      <c r="BC183" s="181">
        <f>IF(AND(ISNUMBER(AV177),ISNUMBER(BQ181)),IF(AND(SIGN(AV175-AV173)=-1,SIGN(BP181-AV177)&lt;&gt;1),ROUND(ABS(AV177-SUM(O182:V186,AI182:AP186,BC182,BC184:BJ185)),0),0),0)</f>
        <v>0</v>
      </c>
      <c r="BD183" s="181"/>
      <c r="BE183" s="181"/>
      <c r="BF183" s="181"/>
      <c r="BG183" s="181"/>
      <c r="BH183" s="181"/>
      <c r="BI183" s="181"/>
      <c r="BJ183" s="182"/>
      <c r="BQ183" s="46"/>
    </row>
    <row r="184" spans="2:71" x14ac:dyDescent="0.25">
      <c r="B184" s="20"/>
      <c r="C184" s="307" t="s">
        <v>30</v>
      </c>
      <c r="D184" s="308"/>
      <c r="E184" s="308"/>
      <c r="F184" s="308"/>
      <c r="G184" s="308"/>
      <c r="H184" s="308"/>
      <c r="I184" s="308"/>
      <c r="J184" s="308"/>
      <c r="K184" s="188">
        <v>2025</v>
      </c>
      <c r="L184" s="188"/>
      <c r="M184" s="188"/>
      <c r="N184" s="189"/>
      <c r="O184" s="145"/>
      <c r="P184" s="145"/>
      <c r="Q184" s="145"/>
      <c r="R184" s="145"/>
      <c r="S184" s="145"/>
      <c r="T184" s="145"/>
      <c r="U184" s="145"/>
      <c r="V184" s="146"/>
      <c r="W184" s="307" t="s">
        <v>34</v>
      </c>
      <c r="X184" s="308"/>
      <c r="Y184" s="308"/>
      <c r="Z184" s="308"/>
      <c r="AA184" s="308"/>
      <c r="AB184" s="308"/>
      <c r="AC184" s="308"/>
      <c r="AD184" s="308"/>
      <c r="AE184" s="188">
        <v>2025</v>
      </c>
      <c r="AF184" s="188"/>
      <c r="AG184" s="188"/>
      <c r="AH184" s="189"/>
      <c r="AI184" s="145"/>
      <c r="AJ184" s="145"/>
      <c r="AK184" s="145"/>
      <c r="AL184" s="145"/>
      <c r="AM184" s="145"/>
      <c r="AN184" s="145"/>
      <c r="AO184" s="145"/>
      <c r="AP184" s="146"/>
      <c r="AQ184" s="309" t="s">
        <v>123</v>
      </c>
      <c r="AR184" s="214"/>
      <c r="AS184" s="214"/>
      <c r="AT184" s="214"/>
      <c r="AU184" s="214"/>
      <c r="AV184" s="214"/>
      <c r="AW184" s="214"/>
      <c r="AX184" s="214"/>
      <c r="AY184" s="214"/>
      <c r="AZ184" s="214"/>
      <c r="BA184" s="214"/>
      <c r="BB184" s="215"/>
      <c r="BC184" s="145"/>
      <c r="BD184" s="145"/>
      <c r="BE184" s="145"/>
      <c r="BF184" s="145"/>
      <c r="BG184" s="145"/>
      <c r="BH184" s="145"/>
      <c r="BI184" s="145"/>
      <c r="BJ184" s="146"/>
    </row>
    <row r="185" spans="2:71" x14ac:dyDescent="0.25">
      <c r="B185" s="20"/>
      <c r="C185" s="307" t="s">
        <v>31</v>
      </c>
      <c r="D185" s="308"/>
      <c r="E185" s="308"/>
      <c r="F185" s="308"/>
      <c r="G185" s="308"/>
      <c r="H185" s="308"/>
      <c r="I185" s="308"/>
      <c r="J185" s="308"/>
      <c r="K185" s="188">
        <v>2025</v>
      </c>
      <c r="L185" s="188"/>
      <c r="M185" s="188"/>
      <c r="N185" s="189"/>
      <c r="O185" s="145"/>
      <c r="P185" s="145"/>
      <c r="Q185" s="145"/>
      <c r="R185" s="145"/>
      <c r="S185" s="145"/>
      <c r="T185" s="145"/>
      <c r="U185" s="145"/>
      <c r="V185" s="146"/>
      <c r="W185" s="307" t="s">
        <v>35</v>
      </c>
      <c r="X185" s="308"/>
      <c r="Y185" s="308"/>
      <c r="Z185" s="308"/>
      <c r="AA185" s="308"/>
      <c r="AB185" s="308"/>
      <c r="AC185" s="308"/>
      <c r="AD185" s="308"/>
      <c r="AE185" s="188">
        <v>2025</v>
      </c>
      <c r="AF185" s="188"/>
      <c r="AG185" s="188"/>
      <c r="AH185" s="189"/>
      <c r="AI185" s="181">
        <f>BR181</f>
        <v>0</v>
      </c>
      <c r="AJ185" s="181"/>
      <c r="AK185" s="181"/>
      <c r="AL185" s="181"/>
      <c r="AM185" s="181"/>
      <c r="AN185" s="181"/>
      <c r="AO185" s="181"/>
      <c r="AP185" s="182"/>
      <c r="AQ185" s="309" t="s">
        <v>123</v>
      </c>
      <c r="AR185" s="214"/>
      <c r="AS185" s="214"/>
      <c r="AT185" s="214"/>
      <c r="AU185" s="214"/>
      <c r="AV185" s="214"/>
      <c r="AW185" s="214"/>
      <c r="AX185" s="214"/>
      <c r="AY185" s="214"/>
      <c r="AZ185" s="214"/>
      <c r="BA185" s="214"/>
      <c r="BB185" s="215"/>
      <c r="BC185" s="145"/>
      <c r="BD185" s="145"/>
      <c r="BE185" s="145"/>
      <c r="BF185" s="145"/>
      <c r="BG185" s="145"/>
      <c r="BH185" s="145"/>
      <c r="BI185" s="145"/>
      <c r="BJ185" s="146"/>
    </row>
    <row r="186" spans="2:71" x14ac:dyDescent="0.25">
      <c r="B186" s="20"/>
      <c r="C186" s="307" t="s">
        <v>32</v>
      </c>
      <c r="D186" s="308"/>
      <c r="E186" s="308"/>
      <c r="F186" s="308"/>
      <c r="G186" s="308"/>
      <c r="H186" s="308"/>
      <c r="I186" s="308"/>
      <c r="J186" s="308"/>
      <c r="K186" s="188">
        <v>2025</v>
      </c>
      <c r="L186" s="188"/>
      <c r="M186" s="188"/>
      <c r="N186" s="189"/>
      <c r="O186" s="145"/>
      <c r="P186" s="145"/>
      <c r="Q186" s="145"/>
      <c r="R186" s="145"/>
      <c r="S186" s="145"/>
      <c r="T186" s="145"/>
      <c r="U186" s="145"/>
      <c r="V186" s="146"/>
      <c r="W186" s="307" t="s">
        <v>27</v>
      </c>
      <c r="X186" s="308"/>
      <c r="Y186" s="308"/>
      <c r="Z186" s="308"/>
      <c r="AA186" s="308"/>
      <c r="AB186" s="308"/>
      <c r="AC186" s="308"/>
      <c r="AD186" s="308"/>
      <c r="AE186" s="188">
        <v>2025</v>
      </c>
      <c r="AF186" s="188"/>
      <c r="AG186" s="188"/>
      <c r="AH186" s="189"/>
      <c r="AI186" s="181">
        <f>BR181</f>
        <v>0</v>
      </c>
      <c r="AJ186" s="181"/>
      <c r="AK186" s="181"/>
      <c r="AL186" s="181"/>
      <c r="AM186" s="181"/>
      <c r="AN186" s="181"/>
      <c r="AO186" s="181"/>
      <c r="AP186" s="182"/>
      <c r="AQ186" s="270" t="s">
        <v>4</v>
      </c>
      <c r="AR186" s="310"/>
      <c r="AS186" s="310"/>
      <c r="AT186" s="310"/>
      <c r="AU186" s="310"/>
      <c r="AV186" s="310"/>
      <c r="AW186" s="310"/>
      <c r="AX186" s="310"/>
      <c r="AY186" s="242"/>
      <c r="AZ186" s="242"/>
      <c r="BA186" s="242"/>
      <c r="BB186" s="148"/>
      <c r="BC186" s="181">
        <f>SUM(O182:V186,AI182:AP186,BC182:BJ185)</f>
        <v>0</v>
      </c>
      <c r="BD186" s="181"/>
      <c r="BE186" s="181"/>
      <c r="BF186" s="181"/>
      <c r="BG186" s="181"/>
      <c r="BH186" s="181"/>
      <c r="BI186" s="181"/>
      <c r="BJ186" s="182"/>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29"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25"/>
      <c r="AV188" s="149" t="str">
        <f t="shared" ref="AV188" si="9">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50"/>
      <c r="AX188" s="150"/>
      <c r="AY188" s="150"/>
      <c r="AZ188" s="150"/>
      <c r="BA188" s="150"/>
      <c r="BB188" s="150"/>
      <c r="BC188" s="150"/>
      <c r="BD188" s="150"/>
      <c r="BE188" s="150"/>
      <c r="BF188" s="150"/>
      <c r="BG188" s="150"/>
      <c r="BH188" s="150"/>
      <c r="BI188" s="150"/>
      <c r="BJ188" s="151"/>
    </row>
    <row r="189" spans="2:71" ht="6.9" customHeight="1" x14ac:dyDescent="0.25"/>
    <row r="190" spans="2:71" x14ac:dyDescent="0.25">
      <c r="B190" s="270" t="s">
        <v>99</v>
      </c>
      <c r="C190" s="310"/>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c r="AE190" s="310"/>
      <c r="AF190" s="310"/>
      <c r="AG190" s="310"/>
      <c r="AH190" s="310"/>
      <c r="AI190" s="310"/>
      <c r="AJ190" s="310"/>
      <c r="AK190" s="310"/>
      <c r="AL190" s="310"/>
      <c r="AM190" s="310"/>
      <c r="AN190" s="310"/>
      <c r="AO190" s="310"/>
      <c r="AP190" s="310"/>
      <c r="AQ190" s="310"/>
      <c r="AR190" s="310"/>
      <c r="AS190" s="310"/>
      <c r="AT190" s="310"/>
      <c r="AU190" s="310"/>
      <c r="AV190" s="310"/>
      <c r="AW190" s="310"/>
      <c r="AX190" s="310"/>
      <c r="AY190" s="310"/>
      <c r="AZ190" s="310"/>
      <c r="BA190" s="310"/>
      <c r="BB190" s="310"/>
      <c r="BC190" s="310"/>
      <c r="BD190" s="310"/>
      <c r="BE190" s="310"/>
      <c r="BF190" s="310"/>
      <c r="BG190" s="310"/>
      <c r="BH190" s="310"/>
      <c r="BI190" s="310"/>
      <c r="BJ190" s="344"/>
    </row>
    <row r="191" spans="2:71" ht="8.1" customHeight="1" x14ac:dyDescent="0.25">
      <c r="B191" s="20"/>
      <c r="BJ191" s="26"/>
    </row>
    <row r="192" spans="2:71" x14ac:dyDescent="0.25">
      <c r="B192" s="20"/>
      <c r="C192" s="321" t="s">
        <v>53</v>
      </c>
      <c r="D192" s="321"/>
      <c r="E192" s="322" t="str">
        <f>PROPER(L5)</f>
        <v xml:space="preserve"> </v>
      </c>
      <c r="F192" s="225"/>
      <c r="G192" s="225"/>
      <c r="H192" s="225"/>
      <c r="I192" s="225"/>
      <c r="J192" s="225"/>
      <c r="K192" s="225"/>
      <c r="L192" s="225"/>
      <c r="M192" s="225"/>
      <c r="N192" s="225"/>
      <c r="O192" s="225"/>
      <c r="P192" s="225"/>
      <c r="Q192" s="225"/>
      <c r="R192" s="225"/>
      <c r="S192" s="225"/>
      <c r="T192" s="225"/>
      <c r="U192" s="225"/>
      <c r="V192" s="225"/>
      <c r="W192" s="225"/>
      <c r="X192" s="225"/>
      <c r="Y192" s="225"/>
      <c r="Z192" s="321" t="s">
        <v>100</v>
      </c>
      <c r="AA192" s="321"/>
      <c r="AB192" s="321"/>
      <c r="AC192" s="321"/>
      <c r="AD192" s="321"/>
      <c r="AE192" s="321"/>
      <c r="AF192" s="321"/>
      <c r="AG192" s="321"/>
      <c r="AH192" s="321"/>
      <c r="AI192" s="322" t="str">
        <f>IF(ISBLANK('Basic Information'!L8)," ",PROPER('Basic Information'!L8))</f>
        <v xml:space="preserve"> </v>
      </c>
      <c r="AJ192" s="322"/>
      <c r="AK192" s="322"/>
      <c r="AL192" s="322"/>
      <c r="AM192" s="322"/>
      <c r="AN192" s="322"/>
      <c r="AO192" s="322"/>
      <c r="AP192" s="322"/>
      <c r="AQ192" s="322"/>
      <c r="AR192" s="322"/>
      <c r="AS192" s="322"/>
      <c r="AT192" s="322"/>
      <c r="AU192" s="322"/>
      <c r="AV192" s="322"/>
      <c r="AW192" s="322"/>
      <c r="AX192" s="322"/>
      <c r="AY192" s="322"/>
      <c r="AZ192" s="321" t="s">
        <v>101</v>
      </c>
      <c r="BA192" s="321"/>
      <c r="BB192" s="321"/>
      <c r="BC192" s="321"/>
      <c r="BD192" s="321"/>
      <c r="BE192" s="321"/>
      <c r="BF192" s="321"/>
      <c r="BG192" s="321"/>
      <c r="BH192" s="321"/>
      <c r="BI192" s="321"/>
      <c r="BJ192" s="345"/>
    </row>
    <row r="193" spans="2:62" x14ac:dyDescent="0.25">
      <c r="B193" s="20"/>
      <c r="C193" s="321" t="s">
        <v>102</v>
      </c>
      <c r="D193" s="321"/>
      <c r="E193" s="321"/>
      <c r="F193" s="321"/>
      <c r="G193" s="321"/>
      <c r="H193" s="321"/>
      <c r="I193" s="321"/>
      <c r="J193" s="321"/>
      <c r="K193" s="321"/>
      <c r="L193" s="321"/>
      <c r="M193" s="321"/>
      <c r="N193" s="321"/>
      <c r="O193" s="321"/>
      <c r="P193" s="321"/>
      <c r="Q193" s="321"/>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c r="AQ193" s="321"/>
      <c r="AR193" s="321"/>
      <c r="AS193" s="321"/>
      <c r="AT193" s="321"/>
      <c r="AU193" s="321"/>
      <c r="AV193" s="321"/>
      <c r="AW193" s="321"/>
      <c r="AX193" s="321"/>
      <c r="AY193" s="321"/>
      <c r="AZ193" s="321"/>
      <c r="BA193" s="321"/>
      <c r="BB193" s="321"/>
      <c r="BC193" s="321"/>
      <c r="BD193" s="321"/>
      <c r="BE193" s="321"/>
      <c r="BF193" s="321"/>
      <c r="BG193" s="321"/>
      <c r="BH193" s="321"/>
      <c r="BI193" s="321"/>
      <c r="BJ193" s="26"/>
    </row>
    <row r="194" spans="2:62" x14ac:dyDescent="0.25">
      <c r="B194" s="20"/>
      <c r="C194" s="321" t="s">
        <v>240</v>
      </c>
      <c r="D194" s="321"/>
      <c r="E194" s="321"/>
      <c r="F194" s="321"/>
      <c r="G194" s="321"/>
      <c r="H194" s="321"/>
      <c r="I194" s="321"/>
      <c r="J194" s="321"/>
      <c r="K194" s="321"/>
      <c r="L194" s="321"/>
      <c r="M194" s="321"/>
      <c r="N194" s="321"/>
      <c r="O194" s="321"/>
      <c r="P194" s="321"/>
      <c r="Q194" s="321"/>
      <c r="R194" s="321"/>
      <c r="S194" s="321"/>
      <c r="T194" s="321"/>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21"/>
      <c r="AW194" s="321"/>
      <c r="AX194" s="321"/>
      <c r="AY194" s="321"/>
      <c r="AZ194" s="321"/>
      <c r="BA194" s="321"/>
      <c r="BB194" s="321"/>
      <c r="BC194" s="321"/>
      <c r="BD194" s="321"/>
      <c r="BE194" s="321"/>
      <c r="BF194" s="321"/>
      <c r="BG194" s="321"/>
      <c r="BH194" s="321"/>
      <c r="BI194" s="321"/>
      <c r="BJ194" s="26"/>
    </row>
    <row r="195" spans="2:62" x14ac:dyDescent="0.25">
      <c r="B195" s="20"/>
      <c r="C195" s="321" t="s">
        <v>104</v>
      </c>
      <c r="D195" s="321"/>
      <c r="E195" s="321"/>
      <c r="F195" s="321"/>
      <c r="G195" s="321"/>
      <c r="H195" s="321"/>
      <c r="I195" s="321"/>
      <c r="J195" s="321"/>
      <c r="K195" s="321"/>
      <c r="L195" s="321"/>
      <c r="M195" s="321"/>
      <c r="N195" s="321"/>
      <c r="O195" s="321"/>
      <c r="P195" s="321"/>
      <c r="Q195" s="321"/>
      <c r="R195" s="321"/>
      <c r="S195" s="321"/>
      <c r="T195" s="321"/>
      <c r="U195" s="321"/>
      <c r="V195" s="321"/>
      <c r="W195" s="321"/>
      <c r="X195" s="321"/>
      <c r="Y195" s="322" t="str">
        <f>UPPER(AN5)</f>
        <v xml:space="preserve"> </v>
      </c>
      <c r="Z195" s="322"/>
      <c r="AA195" s="322"/>
      <c r="AB195" s="322"/>
      <c r="AC195" s="322"/>
      <c r="AD195" s="322"/>
      <c r="AE195" s="322"/>
      <c r="AF195" s="322"/>
      <c r="AG195" s="321"/>
      <c r="AH195" s="12" t="s">
        <v>103</v>
      </c>
      <c r="BJ195" s="26"/>
    </row>
    <row r="196" spans="2:62" ht="6" customHeight="1" x14ac:dyDescent="0.25">
      <c r="B196" s="20"/>
      <c r="BJ196" s="26"/>
    </row>
    <row r="197" spans="2:62" ht="6" customHeight="1" x14ac:dyDescent="0.25">
      <c r="B197" s="20"/>
      <c r="BJ197" s="26"/>
    </row>
    <row r="198" spans="2:62" x14ac:dyDescent="0.25">
      <c r="B198" s="20"/>
      <c r="AF198" s="321" t="s">
        <v>14</v>
      </c>
      <c r="AG198" s="321"/>
      <c r="AH198" s="321"/>
      <c r="AI198" s="321"/>
      <c r="AJ198" s="321"/>
      <c r="AK198" s="321"/>
      <c r="AL198" s="321"/>
      <c r="AM198" s="321"/>
      <c r="AN198" s="27" t="s">
        <v>5</v>
      </c>
      <c r="BJ198" s="26"/>
    </row>
    <row r="199" spans="2:62" ht="8.1" customHeight="1" x14ac:dyDescent="0.25">
      <c r="B199" s="20"/>
      <c r="BJ199" s="26"/>
    </row>
    <row r="200" spans="2:62" ht="14.4" x14ac:dyDescent="0.25">
      <c r="B200" s="290" t="s">
        <v>11</v>
      </c>
      <c r="C200" s="321"/>
      <c r="D200" s="321"/>
      <c r="E200" s="321"/>
      <c r="F200" s="321"/>
      <c r="G200" s="27" t="s">
        <v>5</v>
      </c>
      <c r="H200" s="225" t="str">
        <f>IF(ISBLANK('Basic Information'!H37)," ",PROPER('Basic Information'!H37))</f>
        <v xml:space="preserve"> </v>
      </c>
      <c r="I200" s="225"/>
      <c r="J200" s="225"/>
      <c r="K200" s="225"/>
      <c r="L200" s="225"/>
      <c r="M200" s="225"/>
      <c r="N200" s="225"/>
      <c r="O200" s="225"/>
      <c r="P200" s="225"/>
      <c r="Q200" s="225"/>
      <c r="R200" s="225"/>
      <c r="S200" s="225"/>
      <c r="T200" s="226"/>
      <c r="U200" s="226"/>
      <c r="V200" s="226"/>
      <c r="W200" s="226"/>
      <c r="X200" s="226"/>
      <c r="AF200" s="321" t="s">
        <v>13</v>
      </c>
      <c r="AG200" s="321"/>
      <c r="AH200" s="321"/>
      <c r="AI200" s="321"/>
      <c r="AJ200" s="321"/>
      <c r="AK200" s="321"/>
      <c r="AL200" s="321"/>
      <c r="AM200" s="321"/>
      <c r="AN200" s="27" t="s">
        <v>5</v>
      </c>
      <c r="AO200" s="225" t="str">
        <f>PROPER(L5)</f>
        <v xml:space="preserve"> </v>
      </c>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6"/>
    </row>
    <row r="201" spans="2:62" ht="6.9" customHeight="1" x14ac:dyDescent="0.25">
      <c r="B201" s="20"/>
      <c r="BJ201" s="26"/>
    </row>
    <row r="202" spans="2:62" x14ac:dyDescent="0.25">
      <c r="B202" s="290" t="s">
        <v>12</v>
      </c>
      <c r="C202" s="321"/>
      <c r="D202" s="321"/>
      <c r="E202" s="321"/>
      <c r="F202" s="321"/>
      <c r="G202" s="27" t="s">
        <v>5</v>
      </c>
      <c r="H202" s="225" t="str">
        <f>IF(ISBLANK('Basic Information'!H39)," ",PROPER('Basic Information'!H39))</f>
        <v xml:space="preserve"> </v>
      </c>
      <c r="I202" s="225"/>
      <c r="J202" s="225"/>
      <c r="K202" s="225"/>
      <c r="L202" s="225"/>
      <c r="M202" s="225"/>
      <c r="N202" s="225"/>
      <c r="O202" s="225"/>
      <c r="P202" s="225"/>
      <c r="Q202" s="225"/>
      <c r="R202" s="225"/>
      <c r="S202" s="225"/>
      <c r="AF202" s="321" t="s">
        <v>15</v>
      </c>
      <c r="AG202" s="321"/>
      <c r="AH202" s="321"/>
      <c r="AI202" s="321"/>
      <c r="AJ202" s="321"/>
      <c r="AK202" s="321"/>
      <c r="AL202" s="321"/>
      <c r="AM202" s="321"/>
      <c r="AN202" s="27" t="s">
        <v>5</v>
      </c>
      <c r="AO202" s="225" t="str">
        <f>PROPER(L7)</f>
        <v xml:space="preserve"> </v>
      </c>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6"/>
    </row>
    <row r="203" spans="2:62" ht="6" customHeight="1" x14ac:dyDescent="0.25">
      <c r="B203" s="20"/>
      <c r="BJ203" s="26"/>
    </row>
    <row r="204" spans="2:62" ht="15" customHeight="1" x14ac:dyDescent="0.25">
      <c r="B204" s="20"/>
      <c r="X204" s="321" t="s">
        <v>6</v>
      </c>
      <c r="Y204" s="321"/>
      <c r="Z204" s="321"/>
      <c r="AA204" s="321"/>
      <c r="AB204" s="321"/>
      <c r="AC204" s="321"/>
      <c r="AD204" s="321"/>
      <c r="AE204" s="321"/>
      <c r="AF204" s="321"/>
      <c r="AG204" s="321"/>
      <c r="AH204" s="321"/>
      <c r="AI204" s="321"/>
      <c r="AJ204" s="321"/>
      <c r="BJ204" s="26"/>
    </row>
    <row r="205" spans="2:62" x14ac:dyDescent="0.25">
      <c r="B205" s="20"/>
      <c r="BJ205" s="26"/>
    </row>
    <row r="206" spans="2:62" ht="8.1" customHeight="1" x14ac:dyDescent="0.25">
      <c r="B206" s="20"/>
      <c r="AO206" s="133" t="s">
        <v>7</v>
      </c>
      <c r="AP206" s="133"/>
      <c r="AQ206" s="133"/>
      <c r="AR206" s="133"/>
      <c r="AS206" s="133"/>
      <c r="AT206" s="133"/>
      <c r="AU206" s="133"/>
      <c r="AV206" s="133"/>
      <c r="AW206" s="133"/>
      <c r="AX206" s="133"/>
      <c r="AY206" s="133"/>
      <c r="AZ206" s="133"/>
      <c r="BA206" s="133"/>
      <c r="BB206" s="133"/>
      <c r="BC206" s="133"/>
      <c r="BD206" s="133"/>
      <c r="BE206" s="133"/>
      <c r="BF206" s="133"/>
      <c r="BG206" s="133"/>
      <c r="BH206" s="133"/>
      <c r="BI206" s="133"/>
      <c r="BJ206" s="26"/>
    </row>
    <row r="207" spans="2:62" ht="10.5" customHeight="1" x14ac:dyDescent="0.25">
      <c r="B207" s="20"/>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26"/>
    </row>
    <row r="208" spans="2:62" ht="8.1" customHeight="1" x14ac:dyDescent="0.25">
      <c r="B208" s="20"/>
      <c r="AO208" s="211" t="str">
        <f>IF(ISBLANK('Basic Information'!M3),"",PROPER('Basic Information'!M3))</f>
        <v/>
      </c>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42"/>
    </row>
  </sheetData>
  <sheetProtection algorithmName="SHA-512" hashValue="TFeMQY2XGya9vt9tsb6AGWB80XGeHEfWcJPsM4Hh6WGWRMaeNVqQlKKooqIqi2ey0eF0HpT4vDj9pPR0u8py+g==" saltValue="sl7eHfrDnBnmLvC/C0Fz5Q==" spinCount="100000" sheet="1" objects="1" scenarios="1" selectLockedCells="1"/>
  <mergeCells count="527">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AQ34:BA34"/>
    <mergeCell ref="BC34:BJ34"/>
    <mergeCell ref="C34:L34"/>
    <mergeCell ref="W34:AF34"/>
    <mergeCell ref="AH34:AO34"/>
    <mergeCell ref="C30:T30"/>
    <mergeCell ref="V30:AE30"/>
    <mergeCell ref="Q24:V24"/>
    <mergeCell ref="W24:AB24"/>
    <mergeCell ref="BA28:BJ28"/>
    <mergeCell ref="K24:P24"/>
    <mergeCell ref="AP24:AT24"/>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W12:AB12"/>
    <mergeCell ref="W13:AB13"/>
    <mergeCell ref="W14:AB14"/>
    <mergeCell ref="AC16:AI16"/>
    <mergeCell ref="AC17:AI17"/>
    <mergeCell ref="W15:AB15"/>
    <mergeCell ref="W16:AB16"/>
    <mergeCell ref="W17:AB17"/>
    <mergeCell ref="AC13:AI13"/>
    <mergeCell ref="AC14:AI14"/>
    <mergeCell ref="AC15:AI15"/>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AJ137:AS137"/>
    <mergeCell ref="AT139:AU139"/>
    <mergeCell ref="AT137:AU137"/>
    <mergeCell ref="C143:M143"/>
    <mergeCell ref="N143:V143"/>
    <mergeCell ref="C141:M141"/>
    <mergeCell ref="N141:V141"/>
    <mergeCell ref="C139:AH139"/>
    <mergeCell ref="AT143:AU14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C151:AH151"/>
    <mergeCell ref="AJ151:AS151"/>
    <mergeCell ref="AT151:AU151"/>
    <mergeCell ref="AV151:BJ151"/>
    <mergeCell ref="C153:AH153"/>
    <mergeCell ref="AJ153:AS153"/>
    <mergeCell ref="AT153:AU153"/>
    <mergeCell ref="AV153:BJ153"/>
    <mergeCell ref="BP150:BW152"/>
    <mergeCell ref="BP153:BW154"/>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3694E8F1-44AC-428C-840A-B2349F733050}">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498" t="s">
        <v>74</v>
      </c>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60"/>
      <c r="AP2" s="60"/>
      <c r="AR2" s="232" t="s">
        <v>147</v>
      </c>
      <c r="AS2" s="232"/>
      <c r="AT2" s="232"/>
      <c r="AU2" s="232"/>
      <c r="AV2" s="232"/>
      <c r="AW2" s="232"/>
    </row>
    <row r="3" spans="2:50" ht="15" customHeight="1" x14ac:dyDescent="0.3">
      <c r="B3" s="499" t="s">
        <v>39</v>
      </c>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62"/>
      <c r="AP3" s="62"/>
      <c r="AR3" s="232"/>
      <c r="AS3" s="232"/>
      <c r="AT3" s="232"/>
      <c r="AU3" s="232"/>
      <c r="AV3" s="232"/>
      <c r="AW3" s="232"/>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4"/>
      <c r="AS4" s="114"/>
      <c r="AT4" s="114"/>
      <c r="AU4" s="114"/>
      <c r="AV4" s="114"/>
      <c r="AW4" s="114"/>
    </row>
    <row r="5" spans="2:50" ht="15" customHeight="1" x14ac:dyDescent="0.3">
      <c r="B5" s="499" t="s">
        <v>216</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61"/>
      <c r="AP5" s="61"/>
      <c r="AR5" s="504" t="s">
        <v>20</v>
      </c>
      <c r="AS5" s="504"/>
      <c r="AT5" s="504"/>
      <c r="AU5" s="63"/>
    </row>
    <row r="6" spans="2:50" ht="17.399999999999999" x14ac:dyDescent="0.3">
      <c r="B6" s="61"/>
      <c r="C6" s="62"/>
      <c r="D6" s="499" t="s">
        <v>235</v>
      </c>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14"/>
      <c r="AP6" s="14"/>
      <c r="AR6" s="504"/>
      <c r="AS6" s="504"/>
      <c r="AT6" s="504"/>
    </row>
    <row r="7" spans="2:50" ht="15" customHeight="1" x14ac:dyDescent="0.3">
      <c r="B7" s="499" t="s">
        <v>217</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499"/>
      <c r="AO7" s="61"/>
      <c r="AP7" s="61"/>
      <c r="AS7" s="323" t="s">
        <v>125</v>
      </c>
      <c r="AT7" s="323"/>
      <c r="AU7" s="323"/>
      <c r="AV7" s="323"/>
    </row>
    <row r="8" spans="2:50" ht="15" customHeight="1" x14ac:dyDescent="0.3">
      <c r="B8" s="499" t="s">
        <v>40</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61"/>
      <c r="AP8" s="61"/>
      <c r="AS8" s="323"/>
      <c r="AT8" s="323"/>
      <c r="AU8" s="323"/>
      <c r="AV8" s="323"/>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04" t="s">
        <v>21</v>
      </c>
      <c r="AS9" s="504"/>
      <c r="AT9" s="504"/>
      <c r="AU9" s="504"/>
      <c r="AV9" s="504"/>
      <c r="AW9" s="63"/>
      <c r="AX9" s="63"/>
    </row>
    <row r="10" spans="2:50" ht="15" customHeight="1" x14ac:dyDescent="0.3">
      <c r="B10" s="1"/>
      <c r="C10" s="500" t="s">
        <v>38</v>
      </c>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1"/>
      <c r="AP10" s="1"/>
      <c r="AR10" s="504"/>
      <c r="AS10" s="504"/>
      <c r="AT10" s="504"/>
      <c r="AU10" s="504"/>
      <c r="AV10" s="504"/>
      <c r="AW10" s="63"/>
      <c r="AX10" s="63"/>
    </row>
    <row r="11" spans="2:50" ht="15" customHeight="1" x14ac:dyDescent="0.3">
      <c r="B11" s="1"/>
      <c r="C11" s="489">
        <v>1</v>
      </c>
      <c r="D11" s="489" t="s">
        <v>80</v>
      </c>
      <c r="E11" s="244"/>
      <c r="F11" s="244"/>
      <c r="G11" s="244"/>
      <c r="H11" s="244"/>
      <c r="I11" s="244"/>
      <c r="J11" s="244"/>
      <c r="K11" s="244"/>
      <c r="L11" s="244"/>
      <c r="M11" s="244"/>
      <c r="N11" s="244"/>
      <c r="O11" s="244"/>
      <c r="P11" s="244"/>
      <c r="Q11" s="244"/>
      <c r="R11" s="244"/>
      <c r="S11" s="490"/>
      <c r="T11" s="10" t="s">
        <v>5</v>
      </c>
      <c r="U11" s="495" t="str">
        <f>IF(ISBLANK('Basic Information'!L6)," ",PROPER('Basic Information'!L6))</f>
        <v xml:space="preserve"> </v>
      </c>
      <c r="V11" s="495"/>
      <c r="W11" s="495"/>
      <c r="X11" s="495"/>
      <c r="Y11" s="495"/>
      <c r="Z11" s="495"/>
      <c r="AA11" s="495"/>
      <c r="AB11" s="495"/>
      <c r="AC11" s="495"/>
      <c r="AD11" s="495"/>
      <c r="AE11" s="495"/>
      <c r="AF11" s="495"/>
      <c r="AG11" s="495"/>
      <c r="AH11" s="495"/>
      <c r="AI11" s="495"/>
      <c r="AJ11" s="495"/>
      <c r="AK11" s="495"/>
      <c r="AL11" s="495"/>
      <c r="AM11" s="495"/>
      <c r="AN11" s="495"/>
      <c r="AO11" s="61"/>
      <c r="AP11" s="61"/>
      <c r="AR11" s="326" t="s">
        <v>124</v>
      </c>
      <c r="AS11" s="326"/>
      <c r="AT11" s="326"/>
      <c r="AU11" s="326"/>
      <c r="AV11" s="326"/>
      <c r="AW11" s="326"/>
      <c r="AX11" s="64"/>
    </row>
    <row r="12" spans="2:50" ht="15" customHeight="1" x14ac:dyDescent="0.3">
      <c r="B12" s="1"/>
      <c r="C12" s="489"/>
      <c r="D12" s="503" t="s">
        <v>141</v>
      </c>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61"/>
      <c r="AP12" s="61"/>
      <c r="AR12" s="326"/>
      <c r="AS12" s="326"/>
      <c r="AT12" s="326"/>
      <c r="AU12" s="326"/>
      <c r="AV12" s="326"/>
      <c r="AW12" s="326"/>
      <c r="AX12" s="64"/>
    </row>
    <row r="13" spans="2:50" ht="15" customHeight="1" x14ac:dyDescent="0.3">
      <c r="B13" s="1"/>
      <c r="C13" s="489"/>
      <c r="D13" s="489" t="s">
        <v>109</v>
      </c>
      <c r="E13" s="244"/>
      <c r="F13" s="244"/>
      <c r="G13" s="244"/>
      <c r="H13" s="244"/>
      <c r="I13" s="244"/>
      <c r="J13" s="244"/>
      <c r="K13" s="244"/>
      <c r="L13" s="244"/>
      <c r="M13" s="244"/>
      <c r="N13" s="244"/>
      <c r="O13" s="244"/>
      <c r="P13" s="244"/>
      <c r="Q13" s="244"/>
      <c r="R13" s="244"/>
      <c r="S13" s="490"/>
      <c r="T13" s="10" t="s">
        <v>5</v>
      </c>
      <c r="U13" s="491"/>
      <c r="V13" s="491"/>
      <c r="W13" s="491"/>
      <c r="X13" s="491"/>
      <c r="Y13" s="491"/>
      <c r="Z13" s="491"/>
      <c r="AA13" s="491"/>
      <c r="AB13" s="491"/>
      <c r="AC13" s="491"/>
      <c r="AD13" s="491"/>
      <c r="AE13" s="491"/>
      <c r="AF13" s="491"/>
      <c r="AG13" s="491"/>
      <c r="AH13" s="491"/>
      <c r="AI13" s="491"/>
      <c r="AJ13" s="491"/>
      <c r="AK13" s="491"/>
      <c r="AL13" s="491"/>
      <c r="AM13" s="491"/>
      <c r="AN13" s="491"/>
      <c r="AO13" s="1"/>
      <c r="AP13" s="1"/>
      <c r="AR13" s="94" t="s">
        <v>36</v>
      </c>
      <c r="AS13" s="94"/>
      <c r="AT13" s="94"/>
      <c r="AU13" s="94"/>
      <c r="AV13" s="94"/>
      <c r="AW13" s="94"/>
      <c r="AX13" s="64"/>
    </row>
    <row r="14" spans="2:50" ht="15" customHeight="1" x14ac:dyDescent="0.3">
      <c r="B14" s="1"/>
      <c r="C14" s="489"/>
      <c r="D14" s="489" t="s">
        <v>110</v>
      </c>
      <c r="E14" s="244"/>
      <c r="F14" s="244"/>
      <c r="G14" s="244"/>
      <c r="H14" s="244"/>
      <c r="I14" s="244"/>
      <c r="J14" s="244"/>
      <c r="K14" s="244"/>
      <c r="L14" s="244"/>
      <c r="M14" s="244"/>
      <c r="N14" s="244"/>
      <c r="O14" s="244"/>
      <c r="P14" s="244"/>
      <c r="Q14" s="244"/>
      <c r="R14" s="244"/>
      <c r="S14" s="490"/>
      <c r="T14" s="10" t="s">
        <v>5</v>
      </c>
      <c r="U14" s="487"/>
      <c r="V14" s="488"/>
      <c r="W14" s="488"/>
      <c r="X14" s="488"/>
      <c r="Y14" s="488"/>
      <c r="Z14" s="488"/>
      <c r="AA14" s="488"/>
      <c r="AB14" s="488"/>
      <c r="AC14" s="488"/>
      <c r="AD14" s="488"/>
      <c r="AE14" s="488"/>
      <c r="AF14" s="488"/>
      <c r="AG14" s="488"/>
      <c r="AH14" s="488"/>
      <c r="AI14" s="488"/>
      <c r="AJ14" s="488"/>
      <c r="AK14" s="488"/>
      <c r="AL14" s="488"/>
      <c r="AM14" s="488"/>
      <c r="AN14" s="488"/>
      <c r="AO14" s="1"/>
      <c r="AP14" s="1"/>
      <c r="AR14" s="94"/>
      <c r="AS14" s="94"/>
      <c r="AT14" s="94"/>
      <c r="AU14" s="94"/>
      <c r="AV14" s="94"/>
      <c r="AW14" s="94"/>
      <c r="AX14" s="64"/>
    </row>
    <row r="15" spans="2:50" ht="15" customHeight="1" x14ac:dyDescent="0.3">
      <c r="B15" s="1"/>
      <c r="C15" s="489"/>
      <c r="D15" s="489" t="s">
        <v>108</v>
      </c>
      <c r="E15" s="244"/>
      <c r="F15" s="244"/>
      <c r="G15" s="244"/>
      <c r="H15" s="244"/>
      <c r="I15" s="244"/>
      <c r="J15" s="244"/>
      <c r="K15" s="244"/>
      <c r="L15" s="244"/>
      <c r="M15" s="244"/>
      <c r="N15" s="244"/>
      <c r="O15" s="244"/>
      <c r="P15" s="244"/>
      <c r="Q15" s="244"/>
      <c r="R15" s="244"/>
      <c r="S15" s="490"/>
      <c r="T15" s="10" t="s">
        <v>5</v>
      </c>
      <c r="U15" s="491"/>
      <c r="V15" s="492"/>
      <c r="W15" s="492"/>
      <c r="X15" s="492"/>
      <c r="Y15" s="492"/>
      <c r="Z15" s="492"/>
      <c r="AA15" s="492"/>
      <c r="AB15" s="492"/>
      <c r="AC15" s="492"/>
      <c r="AD15" s="492"/>
      <c r="AE15" s="492"/>
      <c r="AF15" s="492"/>
      <c r="AG15" s="492"/>
      <c r="AH15" s="492"/>
      <c r="AI15" s="492"/>
      <c r="AJ15" s="492"/>
      <c r="AK15" s="492"/>
      <c r="AL15" s="492"/>
      <c r="AM15" s="492"/>
      <c r="AN15" s="492"/>
      <c r="AO15" s="1"/>
      <c r="AP15" s="1"/>
      <c r="AS15" s="505" t="s">
        <v>22</v>
      </c>
      <c r="AT15" s="505"/>
      <c r="AU15" s="505"/>
      <c r="AV15" s="505"/>
      <c r="AW15" s="505"/>
      <c r="AX15" s="64"/>
    </row>
    <row r="16" spans="2:50" ht="15" customHeight="1" x14ac:dyDescent="0.3">
      <c r="B16" s="1"/>
      <c r="C16" s="489"/>
      <c r="D16" s="489" t="s">
        <v>107</v>
      </c>
      <c r="E16" s="244"/>
      <c r="F16" s="244"/>
      <c r="G16" s="244"/>
      <c r="H16" s="244"/>
      <c r="I16" s="244"/>
      <c r="J16" s="244"/>
      <c r="K16" s="244"/>
      <c r="L16" s="244"/>
      <c r="M16" s="244"/>
      <c r="N16" s="244"/>
      <c r="O16" s="244"/>
      <c r="P16" s="244"/>
      <c r="Q16" s="244"/>
      <c r="R16" s="244"/>
      <c r="S16" s="490"/>
      <c r="T16" s="10" t="s">
        <v>5</v>
      </c>
      <c r="U16" s="487"/>
      <c r="V16" s="488"/>
      <c r="W16" s="488"/>
      <c r="X16" s="488"/>
      <c r="Y16" s="488"/>
      <c r="Z16" s="488"/>
      <c r="AA16" s="488"/>
      <c r="AB16" s="488"/>
      <c r="AC16" s="488"/>
      <c r="AD16" s="488"/>
      <c r="AE16" s="488"/>
      <c r="AF16" s="488"/>
      <c r="AG16" s="488"/>
      <c r="AH16" s="488"/>
      <c r="AI16" s="488"/>
      <c r="AJ16" s="488"/>
      <c r="AK16" s="488"/>
      <c r="AL16" s="488"/>
      <c r="AM16" s="488"/>
      <c r="AN16" s="488"/>
      <c r="AO16" s="1"/>
      <c r="AP16" s="1"/>
      <c r="AS16" s="506" t="s">
        <v>23</v>
      </c>
      <c r="AT16" s="506"/>
      <c r="AU16" s="506"/>
      <c r="AV16" s="507"/>
      <c r="AW16" s="508"/>
      <c r="AX16" s="64"/>
    </row>
    <row r="17" spans="2:51" ht="15" customHeight="1" x14ac:dyDescent="0.3">
      <c r="B17" s="1"/>
      <c r="C17" s="489"/>
      <c r="D17" s="489" t="s">
        <v>106</v>
      </c>
      <c r="E17" s="244"/>
      <c r="F17" s="244"/>
      <c r="G17" s="244"/>
      <c r="H17" s="244"/>
      <c r="I17" s="244"/>
      <c r="J17" s="244"/>
      <c r="K17" s="244"/>
      <c r="L17" s="244"/>
      <c r="M17" s="244"/>
      <c r="N17" s="244"/>
      <c r="O17" s="244"/>
      <c r="P17" s="244"/>
      <c r="Q17" s="244"/>
      <c r="R17" s="244"/>
      <c r="S17" s="490"/>
      <c r="T17" s="10" t="s">
        <v>5</v>
      </c>
      <c r="U17" s="491"/>
      <c r="V17" s="492"/>
      <c r="W17" s="492"/>
      <c r="X17" s="492"/>
      <c r="Y17" s="492"/>
      <c r="Z17" s="492"/>
      <c r="AA17" s="492"/>
      <c r="AB17" s="492"/>
      <c r="AC17" s="492"/>
      <c r="AD17" s="492"/>
      <c r="AE17" s="492"/>
      <c r="AF17" s="492"/>
      <c r="AG17" s="492"/>
      <c r="AH17" s="492"/>
      <c r="AI17" s="492"/>
      <c r="AJ17" s="492"/>
      <c r="AK17" s="492"/>
      <c r="AL17" s="492"/>
      <c r="AM17" s="492"/>
      <c r="AN17" s="492"/>
      <c r="AO17" s="1"/>
      <c r="AP17" s="1"/>
      <c r="AU17" s="64"/>
      <c r="AV17" s="64"/>
      <c r="AW17" s="64"/>
      <c r="AX17" s="64"/>
    </row>
    <row r="18" spans="2:51" ht="15" customHeight="1" x14ac:dyDescent="0.3">
      <c r="B18" s="1"/>
      <c r="C18" s="489"/>
      <c r="D18" s="489" t="s">
        <v>81</v>
      </c>
      <c r="E18" s="244"/>
      <c r="F18" s="244"/>
      <c r="G18" s="244"/>
      <c r="H18" s="244"/>
      <c r="I18" s="244"/>
      <c r="J18" s="244"/>
      <c r="K18" s="244"/>
      <c r="L18" s="244"/>
      <c r="M18" s="244"/>
      <c r="N18" s="244"/>
      <c r="O18" s="244"/>
      <c r="P18" s="244"/>
      <c r="Q18" s="244"/>
      <c r="R18" s="244"/>
      <c r="S18" s="490"/>
      <c r="T18" s="10" t="s">
        <v>5</v>
      </c>
      <c r="U18" s="487"/>
      <c r="V18" s="492"/>
      <c r="W18" s="492"/>
      <c r="X18" s="492"/>
      <c r="Y18" s="492"/>
      <c r="Z18" s="492"/>
      <c r="AA18" s="492"/>
      <c r="AB18" s="492"/>
      <c r="AC18" s="492"/>
      <c r="AD18" s="492"/>
      <c r="AE18" s="492"/>
      <c r="AF18" s="492"/>
      <c r="AG18" s="492"/>
      <c r="AH18" s="492"/>
      <c r="AI18" s="492"/>
      <c r="AJ18" s="492"/>
      <c r="AK18" s="492"/>
      <c r="AL18" s="492"/>
      <c r="AM18" s="492"/>
      <c r="AN18" s="492"/>
      <c r="AO18" s="1"/>
      <c r="AP18" s="1"/>
      <c r="AR18" s="332" t="s">
        <v>139</v>
      </c>
      <c r="AS18" s="332"/>
      <c r="AT18" s="332"/>
      <c r="AU18" s="332"/>
      <c r="AV18" s="332"/>
      <c r="AW18" s="332"/>
      <c r="AX18" s="64"/>
    </row>
    <row r="19" spans="2:51" ht="15" customHeight="1" x14ac:dyDescent="0.3">
      <c r="B19" s="1"/>
      <c r="C19" s="502"/>
      <c r="D19" s="489" t="s">
        <v>142</v>
      </c>
      <c r="E19" s="244"/>
      <c r="F19" s="244"/>
      <c r="G19" s="244"/>
      <c r="H19" s="244"/>
      <c r="I19" s="244"/>
      <c r="J19" s="244"/>
      <c r="K19" s="244"/>
      <c r="L19" s="244"/>
      <c r="M19" s="244"/>
      <c r="N19" s="244"/>
      <c r="O19" s="244"/>
      <c r="P19" s="244"/>
      <c r="Q19" s="244"/>
      <c r="R19" s="244"/>
      <c r="S19" s="490"/>
      <c r="T19" s="10" t="s">
        <v>5</v>
      </c>
      <c r="U19" s="491"/>
      <c r="V19" s="491"/>
      <c r="W19" s="491"/>
      <c r="X19" s="491"/>
      <c r="Y19" s="491"/>
      <c r="Z19" s="491"/>
      <c r="AA19" s="491"/>
      <c r="AB19" s="491"/>
      <c r="AC19" s="491"/>
      <c r="AD19" s="491"/>
      <c r="AE19" s="491"/>
      <c r="AF19" s="491"/>
      <c r="AG19" s="491"/>
      <c r="AH19" s="491"/>
      <c r="AI19" s="491"/>
      <c r="AJ19" s="491"/>
      <c r="AK19" s="491"/>
      <c r="AL19" s="491"/>
      <c r="AM19" s="491"/>
      <c r="AN19" s="491"/>
      <c r="AO19" s="1"/>
      <c r="AP19" s="1"/>
      <c r="AR19" s="332"/>
      <c r="AS19" s="332"/>
      <c r="AT19" s="332"/>
      <c r="AU19" s="332"/>
      <c r="AV19" s="332"/>
      <c r="AW19" s="332"/>
    </row>
    <row r="20" spans="2:51" ht="15" customHeight="1" x14ac:dyDescent="0.3">
      <c r="B20" s="1"/>
      <c r="C20" s="9">
        <v>2</v>
      </c>
      <c r="D20" s="493" t="s">
        <v>41</v>
      </c>
      <c r="E20" s="493"/>
      <c r="F20" s="493"/>
      <c r="G20" s="493"/>
      <c r="H20" s="493"/>
      <c r="I20" s="493"/>
      <c r="J20" s="493"/>
      <c r="K20" s="493"/>
      <c r="L20" s="493"/>
      <c r="M20" s="493"/>
      <c r="N20" s="493"/>
      <c r="O20" s="493"/>
      <c r="P20" s="493"/>
      <c r="Q20" s="493"/>
      <c r="R20" s="493"/>
      <c r="S20" s="494"/>
      <c r="T20" s="11" t="s">
        <v>5</v>
      </c>
      <c r="U20" s="495" t="str">
        <f>IF(ISNONTEXT('Basic Information'!AK6)," ",UPPER('Basic Information'!AK6))</f>
        <v xml:space="preserve"> </v>
      </c>
      <c r="V20" s="495"/>
      <c r="W20" s="495"/>
      <c r="X20" s="495"/>
      <c r="Y20" s="495"/>
      <c r="Z20" s="495"/>
      <c r="AA20" s="495"/>
      <c r="AB20" s="495"/>
      <c r="AC20" s="495"/>
      <c r="AD20" s="495"/>
      <c r="AE20" s="495"/>
      <c r="AF20" s="495"/>
      <c r="AG20" s="495"/>
      <c r="AH20" s="495"/>
      <c r="AI20" s="495"/>
      <c r="AJ20" s="495"/>
      <c r="AK20" s="495"/>
      <c r="AL20" s="495"/>
      <c r="AM20" s="495"/>
      <c r="AN20" s="495"/>
      <c r="AO20" s="1"/>
      <c r="AP20" s="1"/>
      <c r="AR20" s="332"/>
      <c r="AS20" s="332"/>
      <c r="AT20" s="332"/>
      <c r="AU20" s="332"/>
      <c r="AV20" s="332"/>
      <c r="AW20" s="332"/>
    </row>
    <row r="21" spans="2:51" x14ac:dyDescent="0.3">
      <c r="B21" s="1"/>
      <c r="C21" s="9">
        <v>3</v>
      </c>
      <c r="D21" s="493" t="s">
        <v>42</v>
      </c>
      <c r="E21" s="493"/>
      <c r="F21" s="493"/>
      <c r="G21" s="493"/>
      <c r="H21" s="493"/>
      <c r="I21" s="493"/>
      <c r="J21" s="493"/>
      <c r="K21" s="493"/>
      <c r="L21" s="493"/>
      <c r="M21" s="493"/>
      <c r="N21" s="493"/>
      <c r="O21" s="493"/>
      <c r="P21" s="493"/>
      <c r="Q21" s="493"/>
      <c r="R21" s="493"/>
      <c r="S21" s="494"/>
      <c r="T21" s="11" t="s">
        <v>5</v>
      </c>
      <c r="U21" s="487"/>
      <c r="V21" s="487"/>
      <c r="W21" s="487"/>
      <c r="X21" s="487"/>
      <c r="Y21" s="487"/>
      <c r="Z21" s="487"/>
      <c r="AA21" s="487"/>
      <c r="AB21" s="487"/>
      <c r="AC21" s="487"/>
      <c r="AD21" s="487"/>
      <c r="AE21" s="487"/>
      <c r="AF21" s="487"/>
      <c r="AG21" s="487"/>
      <c r="AH21" s="487"/>
      <c r="AI21" s="487"/>
      <c r="AJ21" s="487"/>
      <c r="AK21" s="487"/>
      <c r="AL21" s="487"/>
      <c r="AM21" s="487"/>
      <c r="AN21" s="487"/>
      <c r="AO21" s="1"/>
      <c r="AP21" s="1"/>
      <c r="AR21" s="332"/>
      <c r="AS21" s="332"/>
      <c r="AT21" s="332"/>
      <c r="AU21" s="332"/>
      <c r="AV21" s="332"/>
      <c r="AW21" s="332"/>
      <c r="AX21" s="1"/>
    </row>
    <row r="22" spans="2:51" x14ac:dyDescent="0.3">
      <c r="B22" s="1"/>
      <c r="C22" s="9">
        <v>4</v>
      </c>
      <c r="D22" s="493" t="s">
        <v>44</v>
      </c>
      <c r="E22" s="493"/>
      <c r="F22" s="493"/>
      <c r="G22" s="493"/>
      <c r="H22" s="493"/>
      <c r="I22" s="493"/>
      <c r="J22" s="493"/>
      <c r="K22" s="493"/>
      <c r="L22" s="493"/>
      <c r="M22" s="493"/>
      <c r="N22" s="493"/>
      <c r="O22" s="493"/>
      <c r="P22" s="493"/>
      <c r="Q22" s="493"/>
      <c r="R22" s="493"/>
      <c r="S22" s="494"/>
      <c r="T22" s="11" t="s">
        <v>5</v>
      </c>
      <c r="U22" s="491"/>
      <c r="V22" s="491"/>
      <c r="W22" s="491"/>
      <c r="X22" s="491"/>
      <c r="Y22" s="491"/>
      <c r="Z22" s="491"/>
      <c r="AA22" s="491"/>
      <c r="AB22" s="491"/>
      <c r="AC22" s="491"/>
      <c r="AD22" s="491"/>
      <c r="AE22" s="491"/>
      <c r="AF22" s="491"/>
      <c r="AG22" s="491"/>
      <c r="AH22" s="491"/>
      <c r="AI22" s="491"/>
      <c r="AJ22" s="491"/>
      <c r="AK22" s="491"/>
      <c r="AL22" s="491"/>
      <c r="AM22" s="491"/>
      <c r="AN22" s="491"/>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88" t="s">
        <v>45</v>
      </c>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62"/>
      <c r="AP24" s="62"/>
    </row>
    <row r="25" spans="2:51" x14ac:dyDescent="0.3">
      <c r="B25" s="1"/>
      <c r="C25" s="1"/>
      <c r="D25" s="1"/>
      <c r="E25" s="1"/>
      <c r="F25" s="1"/>
      <c r="G25" s="431" t="s">
        <v>232</v>
      </c>
      <c r="H25" s="98"/>
      <c r="I25" s="98"/>
      <c r="J25" s="98"/>
      <c r="K25" s="98"/>
      <c r="L25" s="98"/>
      <c r="M25" s="98"/>
      <c r="N25" s="98"/>
      <c r="O25" s="98"/>
      <c r="P25" s="98"/>
      <c r="Q25" s="98"/>
      <c r="R25" s="98"/>
      <c r="S25" s="98"/>
      <c r="T25" s="98"/>
      <c r="U25" s="98"/>
      <c r="V25" s="98"/>
      <c r="W25" s="98"/>
      <c r="X25" s="98"/>
      <c r="Y25" s="98"/>
      <c r="Z25" s="98"/>
      <c r="AA25" s="431" t="s">
        <v>163</v>
      </c>
      <c r="AB25" s="431"/>
      <c r="AC25" s="431"/>
      <c r="AD25" s="431"/>
      <c r="AE25" s="431"/>
      <c r="AF25" s="431"/>
      <c r="AG25" s="431"/>
      <c r="AH25" s="431"/>
      <c r="AI25" s="431"/>
      <c r="AJ25" s="431"/>
      <c r="AK25" s="431"/>
      <c r="AL25" s="43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66">
        <v>1</v>
      </c>
      <c r="D27" s="366" t="s">
        <v>8</v>
      </c>
      <c r="E27" s="366"/>
      <c r="F27" s="435" t="s">
        <v>46</v>
      </c>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7"/>
      <c r="AE27" s="438"/>
      <c r="AF27" s="476"/>
      <c r="AG27" s="477"/>
      <c r="AH27" s="477"/>
      <c r="AI27" s="477"/>
      <c r="AJ27" s="477"/>
      <c r="AK27" s="477"/>
      <c r="AL27" s="477"/>
      <c r="AM27" s="477"/>
      <c r="AN27" s="478"/>
      <c r="AO27" s="3"/>
      <c r="AP27" s="93">
        <f>SUM('Income Tax Proforma - Old Schem'!N34,'Income Tax Proforma - Old Schem'!AH34,'Income Tax Proforma - Old Schem'!BC34)</f>
        <v>0</v>
      </c>
      <c r="AQ27" s="153" t="str">
        <f>IF(AF27&gt;AP27,"Please ensure that the salary received in arrears or in advance is included in section 'A2. Salary Arrear Statement' in the Income Tax Proforma-old schem sheet.","")</f>
        <v/>
      </c>
      <c r="AR27" s="153"/>
      <c r="AS27" s="153"/>
      <c r="AT27" s="153"/>
      <c r="AU27" s="153"/>
      <c r="AV27" s="153"/>
      <c r="AW27" s="153"/>
      <c r="AX27" s="153"/>
      <c r="AY27" s="55"/>
    </row>
    <row r="28" spans="2:51" ht="15" customHeight="1" x14ac:dyDescent="0.3">
      <c r="B28" s="1"/>
      <c r="C28" s="417"/>
      <c r="D28" s="417"/>
      <c r="E28" s="417"/>
      <c r="F28" s="439"/>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1"/>
      <c r="AE28" s="442"/>
      <c r="AF28" s="479"/>
      <c r="AG28" s="479"/>
      <c r="AH28" s="479"/>
      <c r="AI28" s="479"/>
      <c r="AJ28" s="479"/>
      <c r="AK28" s="479"/>
      <c r="AL28" s="479"/>
      <c r="AM28" s="479"/>
      <c r="AN28" s="480"/>
      <c r="AO28" s="3"/>
      <c r="AP28" s="3"/>
      <c r="AQ28" s="153"/>
      <c r="AR28" s="153"/>
      <c r="AS28" s="153"/>
      <c r="AT28" s="153"/>
      <c r="AU28" s="153"/>
      <c r="AV28" s="153"/>
      <c r="AW28" s="153"/>
      <c r="AX28" s="153"/>
      <c r="AY28" s="55"/>
    </row>
    <row r="29" spans="2:51" ht="15" customHeight="1" x14ac:dyDescent="0.3">
      <c r="B29" s="1"/>
      <c r="C29" s="451"/>
      <c r="D29" s="454" t="s">
        <v>9</v>
      </c>
      <c r="E29" s="455"/>
      <c r="F29" s="435" t="s">
        <v>75</v>
      </c>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1"/>
      <c r="AF29" s="443" t="s">
        <v>47</v>
      </c>
      <c r="AG29" s="481"/>
      <c r="AH29" s="481"/>
      <c r="AI29" s="481"/>
      <c r="AJ29" s="481"/>
      <c r="AK29" s="481"/>
      <c r="AL29" s="481"/>
      <c r="AM29" s="481"/>
      <c r="AN29" s="482"/>
      <c r="AO29" s="3"/>
      <c r="AP29" s="3"/>
      <c r="AT29" s="55"/>
      <c r="AU29" s="55"/>
      <c r="AV29" s="55"/>
      <c r="AW29" s="55"/>
      <c r="AX29" s="55"/>
      <c r="AY29" s="55"/>
    </row>
    <row r="30" spans="2:51" ht="15" customHeight="1" x14ac:dyDescent="0.3">
      <c r="B30" s="1"/>
      <c r="C30" s="452"/>
      <c r="D30" s="456"/>
      <c r="E30" s="457"/>
      <c r="F30" s="462"/>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4"/>
      <c r="AF30" s="483"/>
      <c r="AG30" s="483"/>
      <c r="AH30" s="483"/>
      <c r="AI30" s="483"/>
      <c r="AJ30" s="483"/>
      <c r="AK30" s="483"/>
      <c r="AL30" s="483"/>
      <c r="AM30" s="483"/>
      <c r="AN30" s="484"/>
      <c r="AO30" s="3"/>
      <c r="AP30" s="3"/>
    </row>
    <row r="31" spans="2:51" x14ac:dyDescent="0.3">
      <c r="B31" s="1"/>
      <c r="C31" s="453"/>
      <c r="D31" s="458"/>
      <c r="E31" s="459"/>
      <c r="F31" s="465"/>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7"/>
      <c r="AF31" s="485"/>
      <c r="AG31" s="485"/>
      <c r="AH31" s="485"/>
      <c r="AI31" s="485"/>
      <c r="AJ31" s="485"/>
      <c r="AK31" s="485"/>
      <c r="AL31" s="485"/>
      <c r="AM31" s="485"/>
      <c r="AN31" s="486"/>
      <c r="AO31" s="3"/>
      <c r="AP31" s="3"/>
    </row>
    <row r="32" spans="2:51" x14ac:dyDescent="0.3">
      <c r="B32" s="1"/>
      <c r="C32" s="451"/>
      <c r="D32" s="454" t="s">
        <v>48</v>
      </c>
      <c r="E32" s="455"/>
      <c r="F32" s="435" t="s">
        <v>76</v>
      </c>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1"/>
      <c r="AF32" s="468" t="s">
        <v>47</v>
      </c>
      <c r="AG32" s="469"/>
      <c r="AH32" s="469"/>
      <c r="AI32" s="469"/>
      <c r="AJ32" s="469"/>
      <c r="AK32" s="469"/>
      <c r="AL32" s="469"/>
      <c r="AM32" s="469"/>
      <c r="AN32" s="470"/>
      <c r="AO32" s="65"/>
      <c r="AP32" s="65"/>
    </row>
    <row r="33" spans="2:42" x14ac:dyDescent="0.3">
      <c r="B33" s="1"/>
      <c r="C33" s="452"/>
      <c r="D33" s="456"/>
      <c r="E33" s="457"/>
      <c r="F33" s="462"/>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4"/>
      <c r="AF33" s="471"/>
      <c r="AG33" s="387"/>
      <c r="AH33" s="387"/>
      <c r="AI33" s="387"/>
      <c r="AJ33" s="387"/>
      <c r="AK33" s="387"/>
      <c r="AL33" s="387"/>
      <c r="AM33" s="387"/>
      <c r="AN33" s="472"/>
      <c r="AO33" s="65"/>
      <c r="AP33" s="65"/>
    </row>
    <row r="34" spans="2:42" x14ac:dyDescent="0.3">
      <c r="B34" s="1"/>
      <c r="C34" s="452"/>
      <c r="D34" s="456"/>
      <c r="E34" s="457"/>
      <c r="F34" s="462"/>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4"/>
      <c r="AF34" s="471"/>
      <c r="AG34" s="387"/>
      <c r="AH34" s="387"/>
      <c r="AI34" s="387"/>
      <c r="AJ34" s="387"/>
      <c r="AK34" s="387"/>
      <c r="AL34" s="387"/>
      <c r="AM34" s="387"/>
      <c r="AN34" s="472"/>
      <c r="AO34" s="65"/>
      <c r="AP34" s="65"/>
    </row>
    <row r="35" spans="2:42" x14ac:dyDescent="0.3">
      <c r="B35" s="1"/>
      <c r="C35" s="452"/>
      <c r="D35" s="456"/>
      <c r="E35" s="457"/>
      <c r="F35" s="462"/>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4"/>
      <c r="AF35" s="471"/>
      <c r="AG35" s="387"/>
      <c r="AH35" s="387"/>
      <c r="AI35" s="387"/>
      <c r="AJ35" s="387"/>
      <c r="AK35" s="387"/>
      <c r="AL35" s="387"/>
      <c r="AM35" s="387"/>
      <c r="AN35" s="472"/>
      <c r="AO35" s="65"/>
      <c r="AP35" s="65"/>
    </row>
    <row r="36" spans="2:42" x14ac:dyDescent="0.3">
      <c r="B36" s="1"/>
      <c r="C36" s="452"/>
      <c r="D36" s="456"/>
      <c r="E36" s="457"/>
      <c r="F36" s="462"/>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4"/>
      <c r="AF36" s="471"/>
      <c r="AG36" s="387"/>
      <c r="AH36" s="387"/>
      <c r="AI36" s="387"/>
      <c r="AJ36" s="387"/>
      <c r="AK36" s="387"/>
      <c r="AL36" s="387"/>
      <c r="AM36" s="387"/>
      <c r="AN36" s="472"/>
      <c r="AO36" s="65"/>
      <c r="AP36" s="65"/>
    </row>
    <row r="37" spans="2:42" x14ac:dyDescent="0.3">
      <c r="B37" s="1"/>
      <c r="C37" s="453"/>
      <c r="D37" s="458"/>
      <c r="E37" s="459"/>
      <c r="F37" s="465"/>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7"/>
      <c r="AF37" s="473"/>
      <c r="AG37" s="474"/>
      <c r="AH37" s="474"/>
      <c r="AI37" s="474"/>
      <c r="AJ37" s="474"/>
      <c r="AK37" s="474"/>
      <c r="AL37" s="474"/>
      <c r="AM37" s="474"/>
      <c r="AN37" s="475"/>
      <c r="AO37" s="65"/>
      <c r="AP37" s="65"/>
    </row>
    <row r="38" spans="2:42" x14ac:dyDescent="0.3">
      <c r="B38" s="1"/>
      <c r="C38" s="366"/>
      <c r="D38" s="366" t="s">
        <v>10</v>
      </c>
      <c r="E38" s="366"/>
      <c r="F38" s="435" t="s">
        <v>49</v>
      </c>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7"/>
      <c r="AE38" s="438"/>
      <c r="AF38" s="443" t="s">
        <v>47</v>
      </c>
      <c r="AG38" s="444"/>
      <c r="AH38" s="444"/>
      <c r="AI38" s="444"/>
      <c r="AJ38" s="444"/>
      <c r="AK38" s="444"/>
      <c r="AL38" s="444"/>
      <c r="AM38" s="444"/>
      <c r="AN38" s="445"/>
      <c r="AO38" s="4"/>
      <c r="AP38" s="4"/>
    </row>
    <row r="39" spans="2:42" x14ac:dyDescent="0.3">
      <c r="B39" s="1"/>
      <c r="C39" s="417"/>
      <c r="D39" s="417"/>
      <c r="E39" s="417"/>
      <c r="F39" s="439"/>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1"/>
      <c r="AE39" s="442"/>
      <c r="AF39" s="446"/>
      <c r="AG39" s="446"/>
      <c r="AH39" s="446"/>
      <c r="AI39" s="446"/>
      <c r="AJ39" s="446"/>
      <c r="AK39" s="446"/>
      <c r="AL39" s="446"/>
      <c r="AM39" s="446"/>
      <c r="AN39" s="447"/>
      <c r="AO39" s="4"/>
      <c r="AP39" s="4"/>
    </row>
    <row r="40" spans="2:42" x14ac:dyDescent="0.3">
      <c r="B40" s="1"/>
      <c r="C40" s="366">
        <v>2</v>
      </c>
      <c r="D40" s="366"/>
      <c r="E40" s="366"/>
      <c r="F40" s="435" t="s">
        <v>77</v>
      </c>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7"/>
      <c r="AE40" s="438"/>
      <c r="AF40" s="443" t="s">
        <v>50</v>
      </c>
      <c r="AG40" s="444"/>
      <c r="AH40" s="444"/>
      <c r="AI40" s="444"/>
      <c r="AJ40" s="444"/>
      <c r="AK40" s="444"/>
      <c r="AL40" s="444"/>
      <c r="AM40" s="444"/>
      <c r="AN40" s="445"/>
      <c r="AO40" s="4"/>
      <c r="AP40" s="4"/>
    </row>
    <row r="41" spans="2:42" x14ac:dyDescent="0.3">
      <c r="B41" s="1"/>
      <c r="C41" s="417"/>
      <c r="D41" s="417"/>
      <c r="E41" s="417"/>
      <c r="F41" s="439"/>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1"/>
      <c r="AE41" s="442"/>
      <c r="AF41" s="446"/>
      <c r="AG41" s="446"/>
      <c r="AH41" s="446"/>
      <c r="AI41" s="446"/>
      <c r="AJ41" s="446"/>
      <c r="AK41" s="446"/>
      <c r="AL41" s="446"/>
      <c r="AM41" s="446"/>
      <c r="AN41" s="44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48" t="s">
        <v>52</v>
      </c>
      <c r="Q43" s="388"/>
      <c r="R43" s="388"/>
      <c r="S43" s="388"/>
      <c r="T43" s="388"/>
      <c r="U43" s="388"/>
      <c r="V43" s="388"/>
      <c r="W43" s="388"/>
      <c r="X43" s="388"/>
      <c r="Y43" s="388"/>
      <c r="Z43" s="38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49" t="str">
        <f>IF(ISBLANK(U11)," ", PROPER(U11))</f>
        <v xml:space="preserve"> </v>
      </c>
      <c r="E45" s="449"/>
      <c r="F45" s="449"/>
      <c r="G45" s="449"/>
      <c r="H45" s="449"/>
      <c r="I45" s="449"/>
      <c r="J45" s="449"/>
      <c r="K45" s="449"/>
      <c r="L45" s="449"/>
      <c r="M45" s="449"/>
      <c r="N45" s="449"/>
      <c r="O45" s="449"/>
      <c r="P45" s="449"/>
      <c r="Q45" s="449"/>
      <c r="R45" s="449"/>
      <c r="S45" s="449"/>
      <c r="T45" s="449"/>
      <c r="U45" s="449"/>
      <c r="V45" s="431" t="s">
        <v>54</v>
      </c>
      <c r="W45" s="431"/>
      <c r="X45" s="431"/>
      <c r="Y45" s="431"/>
      <c r="Z45" s="431"/>
      <c r="AA45" s="431"/>
      <c r="AB45" s="431"/>
      <c r="AC45" s="431"/>
      <c r="AD45" s="431"/>
      <c r="AE45" s="431"/>
      <c r="AF45" s="431"/>
      <c r="AG45" s="431"/>
      <c r="AH45" s="431"/>
      <c r="AI45" s="431"/>
      <c r="AJ45" s="431"/>
      <c r="AK45" s="431"/>
      <c r="AL45" s="431"/>
      <c r="AM45" s="431"/>
      <c r="AN45" s="431"/>
      <c r="AO45" s="8"/>
      <c r="AP45" s="8"/>
    </row>
    <row r="46" spans="2:42" x14ac:dyDescent="0.3">
      <c r="B46" s="1"/>
      <c r="C46" s="431" t="s">
        <v>55</v>
      </c>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1" t="s">
        <v>11</v>
      </c>
      <c r="D49" s="431"/>
      <c r="E49" s="431"/>
      <c r="F49" s="431"/>
      <c r="G49" s="1" t="s">
        <v>5</v>
      </c>
      <c r="H49" s="449" t="str">
        <f>IF(ISBLANK('Basic Information'!H37)," ",PROPER('Basic Information'!H37))</f>
        <v xml:space="preserve"> </v>
      </c>
      <c r="I49" s="449"/>
      <c r="J49" s="449"/>
      <c r="K49" s="449"/>
      <c r="L49" s="449"/>
      <c r="M49" s="449"/>
      <c r="N49" s="449"/>
      <c r="O49" s="449"/>
      <c r="P49" s="449"/>
      <c r="Q49" s="450"/>
      <c r="R49" s="450"/>
      <c r="S49" s="450"/>
      <c r="T49" s="450"/>
      <c r="U49" s="450"/>
      <c r="V49" s="1"/>
      <c r="W49" s="1"/>
      <c r="X49" s="1"/>
      <c r="Y49" s="1"/>
      <c r="Z49" s="1"/>
      <c r="AA49" s="1"/>
      <c r="AB49" s="1"/>
      <c r="AC49" s="388"/>
      <c r="AD49" s="388"/>
      <c r="AE49" s="388"/>
      <c r="AF49" s="388"/>
      <c r="AG49" s="388"/>
      <c r="AH49" s="388"/>
      <c r="AI49" s="388"/>
      <c r="AJ49" s="388"/>
      <c r="AK49" s="388"/>
      <c r="AL49" s="388"/>
      <c r="AM49" s="388"/>
      <c r="AN49" s="388"/>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2"/>
      <c r="AD50" s="432"/>
      <c r="AE50" s="432"/>
      <c r="AF50" s="432"/>
      <c r="AG50" s="432"/>
      <c r="AH50" s="432"/>
      <c r="AI50" s="432"/>
      <c r="AJ50" s="432"/>
      <c r="AK50" s="432"/>
      <c r="AL50" s="432"/>
      <c r="AM50" s="432"/>
      <c r="AN50" s="432"/>
      <c r="AO50" s="62"/>
      <c r="AP50" s="62"/>
    </row>
    <row r="51" spans="2:49" x14ac:dyDescent="0.3">
      <c r="B51" s="1"/>
      <c r="C51" s="431" t="s">
        <v>12</v>
      </c>
      <c r="D51" s="431"/>
      <c r="E51" s="431"/>
      <c r="F51" s="431"/>
      <c r="G51" s="1" t="s">
        <v>5</v>
      </c>
      <c r="H51" s="433" t="str">
        <f>IF(ISBLANK('Basic Information'!H39)," ",'Basic Information'!H39)</f>
        <v xml:space="preserve"> </v>
      </c>
      <c r="I51" s="433"/>
      <c r="J51" s="433"/>
      <c r="K51" s="433"/>
      <c r="L51" s="433"/>
      <c r="M51" s="433"/>
      <c r="N51" s="433"/>
      <c r="O51" s="433"/>
      <c r="P51" s="433"/>
      <c r="Q51" s="1"/>
      <c r="R51" s="1"/>
      <c r="S51" s="1"/>
      <c r="T51" s="1"/>
      <c r="U51" s="1"/>
      <c r="V51" s="1"/>
      <c r="W51" s="1"/>
      <c r="X51" s="1"/>
      <c r="Y51" s="1"/>
      <c r="Z51" s="1"/>
      <c r="AA51" s="1"/>
      <c r="AB51" s="1"/>
      <c r="AC51" s="434" t="s">
        <v>51</v>
      </c>
      <c r="AD51" s="434"/>
      <c r="AE51" s="434"/>
      <c r="AF51" s="434"/>
      <c r="AG51" s="434"/>
      <c r="AH51" s="434"/>
      <c r="AI51" s="434"/>
      <c r="AJ51" s="434"/>
      <c r="AK51" s="434"/>
      <c r="AL51" s="434"/>
      <c r="AM51" s="434"/>
      <c r="AN51" s="43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29" t="s">
        <v>56</v>
      </c>
      <c r="S57" s="430"/>
      <c r="T57" s="430"/>
      <c r="U57" s="430"/>
      <c r="V57" s="430"/>
      <c r="W57" s="430"/>
      <c r="X57" s="430"/>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88" t="s">
        <v>57</v>
      </c>
      <c r="P58" s="388"/>
      <c r="Q58" s="388"/>
      <c r="R58" s="388"/>
      <c r="S58" s="388"/>
      <c r="T58" s="388"/>
      <c r="U58" s="388"/>
      <c r="V58" s="388"/>
      <c r="W58" s="388"/>
      <c r="X58" s="388"/>
      <c r="Y58" s="388"/>
      <c r="Z58" s="388"/>
      <c r="AA58" s="388"/>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7" t="s">
        <v>58</v>
      </c>
      <c r="N60" s="134"/>
      <c r="O60" s="134"/>
      <c r="P60" s="134"/>
      <c r="Q60" s="134"/>
      <c r="R60" s="134"/>
      <c r="S60" s="134"/>
      <c r="T60" s="134"/>
      <c r="U60" s="134"/>
      <c r="V60" s="134"/>
      <c r="W60" s="134"/>
      <c r="X60" s="134"/>
      <c r="Y60" s="134"/>
      <c r="Z60" s="134"/>
      <c r="AA60" s="134"/>
      <c r="AB60" s="134"/>
      <c r="AC60" s="134"/>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66">
        <v>1</v>
      </c>
      <c r="D62" s="418" t="s">
        <v>59</v>
      </c>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286"/>
      <c r="AD62" s="286"/>
      <c r="AE62" s="287"/>
      <c r="AF62" s="378">
        <f>IF(AND(AF27&lt;&gt;0,AF27&lt;=AP27,'Income Tax Proforma - Old Schem'!AV161&lt;&gt;0,('Income Tax Proforma - Old Schem'!AV161)&gt;=AF64),(('Income Tax Proforma - Old Schem'!AV161)-AF64),0)</f>
        <v>0</v>
      </c>
      <c r="AG62" s="379"/>
      <c r="AH62" s="379"/>
      <c r="AI62" s="379"/>
      <c r="AJ62" s="379"/>
      <c r="AK62" s="379"/>
      <c r="AL62" s="379"/>
      <c r="AM62" s="379"/>
      <c r="AN62" s="380"/>
      <c r="AO62" s="1"/>
      <c r="AP62" s="1"/>
      <c r="AQ62" s="152" t="str">
        <f>IF(AND(AF27&lt;&gt;0,'Income Tax Proforma - Old Schem'!AV161=0),"Since your income is not taxable for this tax year, Form 10E is not required.","")</f>
        <v/>
      </c>
      <c r="AR62" s="152"/>
      <c r="AS62" s="152"/>
      <c r="AT62" s="152"/>
      <c r="AU62" s="152"/>
      <c r="AV62" s="152"/>
      <c r="AW62" s="152"/>
    </row>
    <row r="63" spans="2:49" ht="12" customHeight="1" x14ac:dyDescent="0.3">
      <c r="B63" s="1"/>
      <c r="C63" s="417"/>
      <c r="D63" s="420"/>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2"/>
      <c r="AF63" s="384"/>
      <c r="AG63" s="385"/>
      <c r="AH63" s="385"/>
      <c r="AI63" s="385"/>
      <c r="AJ63" s="385"/>
      <c r="AK63" s="385"/>
      <c r="AL63" s="385"/>
      <c r="AM63" s="385"/>
      <c r="AN63" s="386"/>
      <c r="AO63" s="1"/>
      <c r="AP63" s="1"/>
      <c r="AQ63" s="152"/>
      <c r="AR63" s="152"/>
      <c r="AS63" s="152"/>
      <c r="AT63" s="152"/>
      <c r="AU63" s="152"/>
      <c r="AV63" s="152"/>
      <c r="AW63" s="152"/>
    </row>
    <row r="64" spans="2:49" ht="10.5" customHeight="1" x14ac:dyDescent="0.3">
      <c r="B64" s="1"/>
      <c r="C64" s="366">
        <v>2</v>
      </c>
      <c r="D64" s="418" t="s">
        <v>60</v>
      </c>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286"/>
      <c r="AD64" s="286"/>
      <c r="AE64" s="287"/>
      <c r="AF64" s="378">
        <f>IF(AND(AF27&lt;=AP27,'Income Tax Proforma - Old Schem'!AV161&lt;&gt;0),AF27,0)</f>
        <v>0</v>
      </c>
      <c r="AG64" s="379"/>
      <c r="AH64" s="379"/>
      <c r="AI64" s="379"/>
      <c r="AJ64" s="379"/>
      <c r="AK64" s="379"/>
      <c r="AL64" s="379"/>
      <c r="AM64" s="379"/>
      <c r="AN64" s="380"/>
      <c r="AO64" s="1"/>
      <c r="AP64" s="1"/>
    </row>
    <row r="65" spans="2:49" ht="12.75" customHeight="1" x14ac:dyDescent="0.3">
      <c r="B65" s="1"/>
      <c r="C65" s="417"/>
      <c r="D65" s="420"/>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2"/>
      <c r="AF65" s="384"/>
      <c r="AG65" s="385"/>
      <c r="AH65" s="385"/>
      <c r="AI65" s="385"/>
      <c r="AJ65" s="385"/>
      <c r="AK65" s="385"/>
      <c r="AL65" s="385"/>
      <c r="AM65" s="385"/>
      <c r="AN65" s="386"/>
      <c r="AO65" s="1"/>
      <c r="AP65" s="1"/>
    </row>
    <row r="66" spans="2:49" ht="15.75" customHeight="1" x14ac:dyDescent="0.3">
      <c r="B66" s="1"/>
      <c r="C66" s="366">
        <v>3</v>
      </c>
      <c r="D66" s="369" t="s">
        <v>61</v>
      </c>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1"/>
      <c r="AD66" s="371"/>
      <c r="AE66" s="372"/>
      <c r="AF66" s="378">
        <f>SUM(AF62,AF64)</f>
        <v>0</v>
      </c>
      <c r="AG66" s="379"/>
      <c r="AH66" s="379"/>
      <c r="AI66" s="379"/>
      <c r="AJ66" s="379"/>
      <c r="AK66" s="379"/>
      <c r="AL66" s="379"/>
      <c r="AM66" s="379"/>
      <c r="AN66" s="380"/>
      <c r="AO66" s="1"/>
      <c r="AP66" s="1"/>
    </row>
    <row r="67" spans="2:49" x14ac:dyDescent="0.3">
      <c r="B67" s="1"/>
      <c r="C67" s="367"/>
      <c r="D67" s="373"/>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374"/>
      <c r="AF67" s="381"/>
      <c r="AG67" s="382"/>
      <c r="AH67" s="382"/>
      <c r="AI67" s="382"/>
      <c r="AJ67" s="382"/>
      <c r="AK67" s="382"/>
      <c r="AL67" s="382"/>
      <c r="AM67" s="382"/>
      <c r="AN67" s="383"/>
      <c r="AO67" s="1"/>
      <c r="AP67" s="1"/>
    </row>
    <row r="68" spans="2:49" ht="12" customHeight="1" x14ac:dyDescent="0.3">
      <c r="B68" s="1"/>
      <c r="C68" s="368"/>
      <c r="D68" s="375"/>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7"/>
      <c r="AF68" s="384"/>
      <c r="AG68" s="385"/>
      <c r="AH68" s="385"/>
      <c r="AI68" s="385"/>
      <c r="AJ68" s="385"/>
      <c r="AK68" s="385"/>
      <c r="AL68" s="385"/>
      <c r="AM68" s="385"/>
      <c r="AN68" s="386"/>
      <c r="AO68" s="1"/>
      <c r="AP68" s="1"/>
    </row>
    <row r="69" spans="2:49" ht="11.25" customHeight="1" x14ac:dyDescent="0.3">
      <c r="B69" s="1"/>
      <c r="C69" s="366">
        <v>4</v>
      </c>
      <c r="D69" s="418" t="s">
        <v>62</v>
      </c>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286"/>
      <c r="AD69" s="286"/>
      <c r="AE69" s="287"/>
      <c r="AF69" s="423">
        <f>SUM(AQ70,AR70)</f>
        <v>0</v>
      </c>
      <c r="AG69" s="424"/>
      <c r="AH69" s="424"/>
      <c r="AI69" s="424"/>
      <c r="AJ69" s="424"/>
      <c r="AK69" s="424"/>
      <c r="AL69" s="424"/>
      <c r="AM69" s="424"/>
      <c r="AN69" s="425"/>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417"/>
      <c r="D70" s="420"/>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2"/>
      <c r="AF70" s="426"/>
      <c r="AG70" s="427"/>
      <c r="AH70" s="427"/>
      <c r="AI70" s="427"/>
      <c r="AJ70" s="427"/>
      <c r="AK70" s="427"/>
      <c r="AL70" s="427"/>
      <c r="AM70" s="427"/>
      <c r="AN70" s="428"/>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66">
        <v>5</v>
      </c>
      <c r="D71" s="418" t="s">
        <v>63</v>
      </c>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286"/>
      <c r="AD71" s="286"/>
      <c r="AE71" s="287"/>
      <c r="AF71" s="378">
        <f>SUM(AQ72,AR72)</f>
        <v>0</v>
      </c>
      <c r="AG71" s="379"/>
      <c r="AH71" s="379"/>
      <c r="AI71" s="379"/>
      <c r="AJ71" s="379"/>
      <c r="AK71" s="379"/>
      <c r="AL71" s="379"/>
      <c r="AM71" s="379"/>
      <c r="AN71" s="380"/>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417"/>
      <c r="D72" s="420"/>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2"/>
      <c r="AF72" s="384"/>
      <c r="AG72" s="385"/>
      <c r="AH72" s="385"/>
      <c r="AI72" s="385"/>
      <c r="AJ72" s="385"/>
      <c r="AK72" s="385"/>
      <c r="AL72" s="385"/>
      <c r="AM72" s="385"/>
      <c r="AN72" s="386"/>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66">
        <v>6</v>
      </c>
      <c r="D73" s="369" t="s">
        <v>64</v>
      </c>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1"/>
      <c r="AD73" s="371"/>
      <c r="AE73" s="372"/>
      <c r="AF73" s="378">
        <f>ABS(AF69-AF71)</f>
        <v>0</v>
      </c>
      <c r="AG73" s="379"/>
      <c r="AH73" s="379"/>
      <c r="AI73" s="379"/>
      <c r="AJ73" s="379"/>
      <c r="AK73" s="379"/>
      <c r="AL73" s="379"/>
      <c r="AM73" s="379"/>
      <c r="AN73" s="380"/>
      <c r="AO73" s="1"/>
      <c r="AP73" s="1"/>
    </row>
    <row r="74" spans="2:49" x14ac:dyDescent="0.3">
      <c r="B74" s="1"/>
      <c r="C74" s="367"/>
      <c r="D74" s="373"/>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374"/>
      <c r="AF74" s="381"/>
      <c r="AG74" s="382"/>
      <c r="AH74" s="382"/>
      <c r="AI74" s="382"/>
      <c r="AJ74" s="382"/>
      <c r="AK74" s="382"/>
      <c r="AL74" s="382"/>
      <c r="AM74" s="382"/>
      <c r="AN74" s="383"/>
      <c r="AO74" s="1"/>
      <c r="AP74" s="1"/>
    </row>
    <row r="75" spans="2:49" ht="11.25" customHeight="1" x14ac:dyDescent="0.3">
      <c r="B75" s="1"/>
      <c r="C75" s="368"/>
      <c r="D75" s="375"/>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7"/>
      <c r="AF75" s="384"/>
      <c r="AG75" s="385"/>
      <c r="AH75" s="385"/>
      <c r="AI75" s="385"/>
      <c r="AJ75" s="385"/>
      <c r="AK75" s="385"/>
      <c r="AL75" s="385"/>
      <c r="AM75" s="385"/>
      <c r="AN75" s="386"/>
      <c r="AO75" s="1"/>
      <c r="AP75" s="1"/>
    </row>
    <row r="76" spans="2:49" ht="9" customHeight="1" x14ac:dyDescent="0.3">
      <c r="B76" s="1"/>
      <c r="C76" s="366">
        <v>7</v>
      </c>
      <c r="D76" s="369" t="s">
        <v>65</v>
      </c>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1"/>
      <c r="AD76" s="371"/>
      <c r="AE76" s="372"/>
      <c r="AF76" s="378">
        <f>AK102</f>
        <v>0</v>
      </c>
      <c r="AG76" s="379"/>
      <c r="AH76" s="379"/>
      <c r="AI76" s="379"/>
      <c r="AJ76" s="379"/>
      <c r="AK76" s="379"/>
      <c r="AL76" s="379"/>
      <c r="AM76" s="379"/>
      <c r="AN76" s="380"/>
      <c r="AO76" s="1"/>
      <c r="AP76" s="1"/>
    </row>
    <row r="77" spans="2:49" x14ac:dyDescent="0.3">
      <c r="B77" s="1"/>
      <c r="C77" s="367"/>
      <c r="D77" s="373"/>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374"/>
      <c r="AF77" s="381"/>
      <c r="AG77" s="382"/>
      <c r="AH77" s="382"/>
      <c r="AI77" s="382"/>
      <c r="AJ77" s="382"/>
      <c r="AK77" s="382"/>
      <c r="AL77" s="382"/>
      <c r="AM77" s="382"/>
      <c r="AN77" s="383"/>
      <c r="AO77" s="1"/>
      <c r="AP77" s="1"/>
    </row>
    <row r="78" spans="2:49" ht="12" customHeight="1" x14ac:dyDescent="0.3">
      <c r="B78" s="1"/>
      <c r="C78" s="368"/>
      <c r="D78" s="375"/>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7"/>
      <c r="AF78" s="384"/>
      <c r="AG78" s="385"/>
      <c r="AH78" s="385"/>
      <c r="AI78" s="385"/>
      <c r="AJ78" s="385"/>
      <c r="AK78" s="385"/>
      <c r="AL78" s="385"/>
      <c r="AM78" s="385"/>
      <c r="AN78" s="386"/>
      <c r="AO78" s="1"/>
      <c r="AP78" s="1"/>
    </row>
    <row r="79" spans="2:49" x14ac:dyDescent="0.3">
      <c r="B79" s="1"/>
      <c r="C79" s="366">
        <v>8</v>
      </c>
      <c r="D79" s="369" t="s">
        <v>233</v>
      </c>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1"/>
      <c r="AD79" s="371"/>
      <c r="AE79" s="372"/>
      <c r="AF79" s="378">
        <f>IF(AND(AF27=M102,AF73&gt;AF76),ABS(AF73-AF76),0)</f>
        <v>0</v>
      </c>
      <c r="AG79" s="379"/>
      <c r="AH79" s="379"/>
      <c r="AI79" s="379"/>
      <c r="AJ79" s="379"/>
      <c r="AK79" s="379"/>
      <c r="AL79" s="379"/>
      <c r="AM79" s="379"/>
      <c r="AN79" s="380"/>
      <c r="AO79" s="1"/>
      <c r="AP79" s="1"/>
      <c r="AQ79" s="49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96"/>
      <c r="AS79" s="496"/>
      <c r="AT79" s="496"/>
      <c r="AU79" s="496"/>
      <c r="AV79" s="496"/>
      <c r="AW79" s="132"/>
    </row>
    <row r="80" spans="2:49" x14ac:dyDescent="0.3">
      <c r="B80" s="1"/>
      <c r="C80" s="367"/>
      <c r="D80" s="373"/>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374"/>
      <c r="AF80" s="381"/>
      <c r="AG80" s="382"/>
      <c r="AH80" s="382"/>
      <c r="AI80" s="382"/>
      <c r="AJ80" s="382"/>
      <c r="AK80" s="382"/>
      <c r="AL80" s="382"/>
      <c r="AM80" s="382"/>
      <c r="AN80" s="383"/>
      <c r="AO80" s="39"/>
      <c r="AP80" s="40"/>
      <c r="AQ80" s="496"/>
      <c r="AR80" s="496"/>
      <c r="AS80" s="496"/>
      <c r="AT80" s="496"/>
      <c r="AU80" s="496"/>
      <c r="AV80" s="496"/>
      <c r="AW80" s="132"/>
    </row>
    <row r="81" spans="2:53" x14ac:dyDescent="0.3">
      <c r="B81" s="1"/>
      <c r="C81" s="368"/>
      <c r="D81" s="375"/>
      <c r="E81" s="376"/>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7"/>
      <c r="AF81" s="384"/>
      <c r="AG81" s="385"/>
      <c r="AH81" s="385"/>
      <c r="AI81" s="385"/>
      <c r="AJ81" s="385"/>
      <c r="AK81" s="385"/>
      <c r="AL81" s="385"/>
      <c r="AM81" s="385"/>
      <c r="AN81" s="386"/>
      <c r="AO81" s="41"/>
      <c r="AP81" s="40"/>
      <c r="AQ81" s="496"/>
      <c r="AR81" s="496"/>
      <c r="AS81" s="496"/>
      <c r="AT81" s="496"/>
      <c r="AU81" s="496"/>
      <c r="AV81" s="496"/>
      <c r="AW81" s="132"/>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7" t="s">
        <v>66</v>
      </c>
      <c r="R83" s="387"/>
      <c r="S83" s="387"/>
      <c r="T83" s="387"/>
      <c r="U83" s="387"/>
      <c r="V83" s="387"/>
      <c r="W83" s="387"/>
      <c r="X83" s="387"/>
      <c r="Y83" s="1"/>
      <c r="Z83" s="78" t="s">
        <v>129</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88" t="s">
        <v>67</v>
      </c>
      <c r="P84" s="388"/>
      <c r="Q84" s="388"/>
      <c r="R84" s="388"/>
      <c r="S84" s="388"/>
      <c r="T84" s="388"/>
      <c r="U84" s="388"/>
      <c r="V84" s="388"/>
      <c r="W84" s="388"/>
      <c r="X84" s="388"/>
      <c r="Y84" s="388"/>
      <c r="Z84" s="388"/>
      <c r="AA84" s="388"/>
      <c r="AB84" s="1"/>
      <c r="AC84" s="1"/>
      <c r="AD84" s="1"/>
      <c r="AE84" s="1"/>
      <c r="AF84" s="1"/>
      <c r="AG84" s="1"/>
      <c r="AH84" s="1"/>
      <c r="AI84" s="1"/>
      <c r="AJ84" s="1"/>
      <c r="AK84" s="1"/>
      <c r="AL84" s="1"/>
      <c r="AM84" s="1"/>
      <c r="AN84" s="1"/>
      <c r="AO84" s="1"/>
      <c r="AP84" s="1"/>
    </row>
    <row r="85" spans="2:53" ht="15" customHeight="1" x14ac:dyDescent="0.3">
      <c r="B85" s="389" t="s">
        <v>218</v>
      </c>
      <c r="C85" s="390"/>
      <c r="D85" s="390"/>
      <c r="E85" s="390"/>
      <c r="F85" s="391"/>
      <c r="G85" s="389" t="s">
        <v>68</v>
      </c>
      <c r="H85" s="398"/>
      <c r="I85" s="398"/>
      <c r="J85" s="398"/>
      <c r="K85" s="398"/>
      <c r="L85" s="399"/>
      <c r="M85" s="406" t="s">
        <v>78</v>
      </c>
      <c r="N85" s="407"/>
      <c r="O85" s="407"/>
      <c r="P85" s="407"/>
      <c r="Q85" s="407"/>
      <c r="R85" s="408"/>
      <c r="S85" s="389" t="s">
        <v>79</v>
      </c>
      <c r="T85" s="398"/>
      <c r="U85" s="398"/>
      <c r="V85" s="398"/>
      <c r="W85" s="398"/>
      <c r="X85" s="399"/>
      <c r="Y85" s="389" t="s">
        <v>69</v>
      </c>
      <c r="Z85" s="398"/>
      <c r="AA85" s="398"/>
      <c r="AB85" s="398"/>
      <c r="AC85" s="398"/>
      <c r="AD85" s="399"/>
      <c r="AE85" s="415" t="s">
        <v>70</v>
      </c>
      <c r="AF85" s="398"/>
      <c r="AG85" s="398"/>
      <c r="AH85" s="398"/>
      <c r="AI85" s="398"/>
      <c r="AJ85" s="399"/>
      <c r="AK85" s="416" t="s">
        <v>71</v>
      </c>
      <c r="AL85" s="398"/>
      <c r="AM85" s="398"/>
      <c r="AN85" s="398"/>
      <c r="AO85" s="398"/>
      <c r="AP85" s="399"/>
    </row>
    <row r="86" spans="2:53" x14ac:dyDescent="0.3">
      <c r="B86" s="392"/>
      <c r="C86" s="393"/>
      <c r="D86" s="393"/>
      <c r="E86" s="393"/>
      <c r="F86" s="394"/>
      <c r="G86" s="400"/>
      <c r="H86" s="401"/>
      <c r="I86" s="401"/>
      <c r="J86" s="401"/>
      <c r="K86" s="401"/>
      <c r="L86" s="402"/>
      <c r="M86" s="409"/>
      <c r="N86" s="410"/>
      <c r="O86" s="410"/>
      <c r="P86" s="410"/>
      <c r="Q86" s="410"/>
      <c r="R86" s="411"/>
      <c r="S86" s="400"/>
      <c r="T86" s="401"/>
      <c r="U86" s="401"/>
      <c r="V86" s="401"/>
      <c r="W86" s="401"/>
      <c r="X86" s="402"/>
      <c r="Y86" s="400"/>
      <c r="Z86" s="401"/>
      <c r="AA86" s="401"/>
      <c r="AB86" s="401"/>
      <c r="AC86" s="401"/>
      <c r="AD86" s="402"/>
      <c r="AE86" s="400"/>
      <c r="AF86" s="401"/>
      <c r="AG86" s="401"/>
      <c r="AH86" s="401"/>
      <c r="AI86" s="401"/>
      <c r="AJ86" s="402"/>
      <c r="AK86" s="400"/>
      <c r="AL86" s="401"/>
      <c r="AM86" s="401"/>
      <c r="AN86" s="401"/>
      <c r="AO86" s="401"/>
      <c r="AP86" s="402"/>
    </row>
    <row r="87" spans="2:53" x14ac:dyDescent="0.3">
      <c r="B87" s="392"/>
      <c r="C87" s="393"/>
      <c r="D87" s="393"/>
      <c r="E87" s="393"/>
      <c r="F87" s="394"/>
      <c r="G87" s="400"/>
      <c r="H87" s="401"/>
      <c r="I87" s="401"/>
      <c r="J87" s="401"/>
      <c r="K87" s="401"/>
      <c r="L87" s="402"/>
      <c r="M87" s="409"/>
      <c r="N87" s="410"/>
      <c r="O87" s="410"/>
      <c r="P87" s="410"/>
      <c r="Q87" s="410"/>
      <c r="R87" s="411"/>
      <c r="S87" s="400"/>
      <c r="T87" s="401"/>
      <c r="U87" s="401"/>
      <c r="V87" s="401"/>
      <c r="W87" s="401"/>
      <c r="X87" s="402"/>
      <c r="Y87" s="400"/>
      <c r="Z87" s="401"/>
      <c r="AA87" s="401"/>
      <c r="AB87" s="401"/>
      <c r="AC87" s="401"/>
      <c r="AD87" s="402"/>
      <c r="AE87" s="400"/>
      <c r="AF87" s="401"/>
      <c r="AG87" s="401"/>
      <c r="AH87" s="401"/>
      <c r="AI87" s="401"/>
      <c r="AJ87" s="402"/>
      <c r="AK87" s="400"/>
      <c r="AL87" s="401"/>
      <c r="AM87" s="401"/>
      <c r="AN87" s="401"/>
      <c r="AO87" s="401"/>
      <c r="AP87" s="402"/>
    </row>
    <row r="88" spans="2:53" x14ac:dyDescent="0.3">
      <c r="B88" s="392"/>
      <c r="C88" s="393"/>
      <c r="D88" s="393"/>
      <c r="E88" s="393"/>
      <c r="F88" s="394"/>
      <c r="G88" s="400"/>
      <c r="H88" s="401"/>
      <c r="I88" s="401"/>
      <c r="J88" s="401"/>
      <c r="K88" s="401"/>
      <c r="L88" s="402"/>
      <c r="M88" s="409"/>
      <c r="N88" s="410"/>
      <c r="O88" s="410"/>
      <c r="P88" s="410"/>
      <c r="Q88" s="410"/>
      <c r="R88" s="411"/>
      <c r="S88" s="400"/>
      <c r="T88" s="401"/>
      <c r="U88" s="401"/>
      <c r="V88" s="401"/>
      <c r="W88" s="401"/>
      <c r="X88" s="402"/>
      <c r="Y88" s="400"/>
      <c r="Z88" s="401"/>
      <c r="AA88" s="401"/>
      <c r="AB88" s="401"/>
      <c r="AC88" s="401"/>
      <c r="AD88" s="402"/>
      <c r="AE88" s="400"/>
      <c r="AF88" s="401"/>
      <c r="AG88" s="401"/>
      <c r="AH88" s="401"/>
      <c r="AI88" s="401"/>
      <c r="AJ88" s="402"/>
      <c r="AK88" s="400"/>
      <c r="AL88" s="401"/>
      <c r="AM88" s="401"/>
      <c r="AN88" s="401"/>
      <c r="AO88" s="401"/>
      <c r="AP88" s="402"/>
    </row>
    <row r="89" spans="2:53" x14ac:dyDescent="0.3">
      <c r="B89" s="392"/>
      <c r="C89" s="393"/>
      <c r="D89" s="393"/>
      <c r="E89" s="393"/>
      <c r="F89" s="394"/>
      <c r="G89" s="400"/>
      <c r="H89" s="401"/>
      <c r="I89" s="401"/>
      <c r="J89" s="401"/>
      <c r="K89" s="401"/>
      <c r="L89" s="402"/>
      <c r="M89" s="409"/>
      <c r="N89" s="410"/>
      <c r="O89" s="410"/>
      <c r="P89" s="410"/>
      <c r="Q89" s="410"/>
      <c r="R89" s="411"/>
      <c r="S89" s="400"/>
      <c r="T89" s="401"/>
      <c r="U89" s="401"/>
      <c r="V89" s="401"/>
      <c r="W89" s="401"/>
      <c r="X89" s="402"/>
      <c r="Y89" s="400"/>
      <c r="Z89" s="401"/>
      <c r="AA89" s="401"/>
      <c r="AB89" s="401"/>
      <c r="AC89" s="401"/>
      <c r="AD89" s="402"/>
      <c r="AE89" s="400"/>
      <c r="AF89" s="401"/>
      <c r="AG89" s="401"/>
      <c r="AH89" s="401"/>
      <c r="AI89" s="401"/>
      <c r="AJ89" s="402"/>
      <c r="AK89" s="400"/>
      <c r="AL89" s="401"/>
      <c r="AM89" s="401"/>
      <c r="AN89" s="401"/>
      <c r="AO89" s="401"/>
      <c r="AP89" s="402"/>
    </row>
    <row r="90" spans="2:53" ht="105" customHeight="1" x14ac:dyDescent="0.3">
      <c r="B90" s="395"/>
      <c r="C90" s="396"/>
      <c r="D90" s="396"/>
      <c r="E90" s="396"/>
      <c r="F90" s="397"/>
      <c r="G90" s="403"/>
      <c r="H90" s="404"/>
      <c r="I90" s="404"/>
      <c r="J90" s="404"/>
      <c r="K90" s="404"/>
      <c r="L90" s="405"/>
      <c r="M90" s="412"/>
      <c r="N90" s="413"/>
      <c r="O90" s="413"/>
      <c r="P90" s="413"/>
      <c r="Q90" s="413"/>
      <c r="R90" s="414"/>
      <c r="S90" s="403"/>
      <c r="T90" s="404"/>
      <c r="U90" s="404"/>
      <c r="V90" s="404"/>
      <c r="W90" s="404"/>
      <c r="X90" s="405"/>
      <c r="Y90" s="403"/>
      <c r="Z90" s="404"/>
      <c r="AA90" s="404"/>
      <c r="AB90" s="404"/>
      <c r="AC90" s="404"/>
      <c r="AD90" s="405"/>
      <c r="AE90" s="403"/>
      <c r="AF90" s="404"/>
      <c r="AG90" s="404"/>
      <c r="AH90" s="404"/>
      <c r="AI90" s="404"/>
      <c r="AJ90" s="405"/>
      <c r="AK90" s="403"/>
      <c r="AL90" s="404"/>
      <c r="AM90" s="404"/>
      <c r="AN90" s="404"/>
      <c r="AO90" s="404"/>
      <c r="AP90" s="405"/>
    </row>
    <row r="91" spans="2:53" x14ac:dyDescent="0.3">
      <c r="B91" s="362">
        <v>1</v>
      </c>
      <c r="C91" s="273"/>
      <c r="D91" s="273"/>
      <c r="E91" s="273"/>
      <c r="F91" s="274"/>
      <c r="G91" s="362">
        <v>2</v>
      </c>
      <c r="H91" s="273"/>
      <c r="I91" s="273"/>
      <c r="J91" s="273"/>
      <c r="K91" s="273"/>
      <c r="L91" s="274"/>
      <c r="M91" s="362">
        <v>3</v>
      </c>
      <c r="N91" s="273"/>
      <c r="O91" s="273"/>
      <c r="P91" s="273"/>
      <c r="Q91" s="273"/>
      <c r="R91" s="274"/>
      <c r="S91" s="362">
        <v>4</v>
      </c>
      <c r="T91" s="363"/>
      <c r="U91" s="363"/>
      <c r="V91" s="363"/>
      <c r="W91" s="363"/>
      <c r="X91" s="364"/>
      <c r="Y91" s="362">
        <v>5</v>
      </c>
      <c r="Z91" s="273"/>
      <c r="AA91" s="273"/>
      <c r="AB91" s="273"/>
      <c r="AC91" s="273"/>
      <c r="AD91" s="274"/>
      <c r="AE91" s="362">
        <v>6</v>
      </c>
      <c r="AF91" s="363"/>
      <c r="AG91" s="363"/>
      <c r="AH91" s="363"/>
      <c r="AI91" s="363"/>
      <c r="AJ91" s="274"/>
      <c r="AK91" s="365">
        <v>7</v>
      </c>
      <c r="AL91" s="273"/>
      <c r="AM91" s="273"/>
      <c r="AN91" s="273"/>
      <c r="AO91" s="273"/>
      <c r="AP91" s="274"/>
    </row>
    <row r="92" spans="2:53" x14ac:dyDescent="0.3">
      <c r="B92" s="356"/>
      <c r="C92" s="357"/>
      <c r="D92" s="357"/>
      <c r="E92" s="357"/>
      <c r="F92" s="358"/>
      <c r="G92" s="359"/>
      <c r="H92" s="360"/>
      <c r="I92" s="360"/>
      <c r="J92" s="360"/>
      <c r="K92" s="360"/>
      <c r="L92" s="361"/>
      <c r="M92" s="359"/>
      <c r="N92" s="360"/>
      <c r="O92" s="360"/>
      <c r="P92" s="360"/>
      <c r="Q92" s="360"/>
      <c r="R92" s="361"/>
      <c r="S92" s="349">
        <f>SUM(G92,M92)</f>
        <v>0</v>
      </c>
      <c r="T92" s="350"/>
      <c r="U92" s="350"/>
      <c r="V92" s="350"/>
      <c r="W92" s="350"/>
      <c r="X92" s="351"/>
      <c r="Y92" s="349">
        <f>MROUND(SUM(AV92,AW92),10)</f>
        <v>0</v>
      </c>
      <c r="Z92" s="350"/>
      <c r="AA92" s="350"/>
      <c r="AB92" s="350"/>
      <c r="AC92" s="350"/>
      <c r="AD92" s="351"/>
      <c r="AE92" s="349">
        <f>SUM(AZ92,BA92)</f>
        <v>0</v>
      </c>
      <c r="AF92" s="350"/>
      <c r="AG92" s="350"/>
      <c r="AH92" s="350"/>
      <c r="AI92" s="350"/>
      <c r="AJ92" s="352"/>
      <c r="AK92" s="353">
        <f>ABS(AE92-Y92)</f>
        <v>0</v>
      </c>
      <c r="AL92" s="354"/>
      <c r="AM92" s="354"/>
      <c r="AN92" s="354"/>
      <c r="AO92" s="354"/>
      <c r="AP92" s="355"/>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356"/>
      <c r="C93" s="357"/>
      <c r="D93" s="357"/>
      <c r="E93" s="357"/>
      <c r="F93" s="358"/>
      <c r="G93" s="359"/>
      <c r="H93" s="360"/>
      <c r="I93" s="360"/>
      <c r="J93" s="360"/>
      <c r="K93" s="360"/>
      <c r="L93" s="361"/>
      <c r="M93" s="359"/>
      <c r="N93" s="360"/>
      <c r="O93" s="360"/>
      <c r="P93" s="360"/>
      <c r="Q93" s="360"/>
      <c r="R93" s="361"/>
      <c r="S93" s="349">
        <f t="shared" ref="S93:S101" si="1">SUM(G93,M93)</f>
        <v>0</v>
      </c>
      <c r="T93" s="350"/>
      <c r="U93" s="350"/>
      <c r="V93" s="350"/>
      <c r="W93" s="350"/>
      <c r="X93" s="351"/>
      <c r="Y93" s="349">
        <f t="shared" ref="Y93:Y101" si="2">MROUND(SUM(AV93,AW93),10)</f>
        <v>0</v>
      </c>
      <c r="Z93" s="350"/>
      <c r="AA93" s="350"/>
      <c r="AB93" s="350"/>
      <c r="AC93" s="350"/>
      <c r="AD93" s="351"/>
      <c r="AE93" s="349">
        <f t="shared" ref="AE93:AE101" si="3">SUM(AZ93,BA93)</f>
        <v>0</v>
      </c>
      <c r="AF93" s="350"/>
      <c r="AG93" s="350"/>
      <c r="AH93" s="350"/>
      <c r="AI93" s="350"/>
      <c r="AJ93" s="352"/>
      <c r="AK93" s="353">
        <f t="shared" ref="AK93:AK101" si="4">ABS(AE93-Y93)</f>
        <v>0</v>
      </c>
      <c r="AL93" s="354"/>
      <c r="AM93" s="354"/>
      <c r="AN93" s="354"/>
      <c r="AO93" s="354"/>
      <c r="AP93" s="355"/>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356"/>
      <c r="C94" s="357"/>
      <c r="D94" s="357"/>
      <c r="E94" s="357"/>
      <c r="F94" s="358"/>
      <c r="G94" s="359"/>
      <c r="H94" s="360"/>
      <c r="I94" s="360"/>
      <c r="J94" s="360"/>
      <c r="K94" s="360"/>
      <c r="L94" s="361"/>
      <c r="M94" s="359"/>
      <c r="N94" s="360"/>
      <c r="O94" s="360"/>
      <c r="P94" s="360"/>
      <c r="Q94" s="360"/>
      <c r="R94" s="361"/>
      <c r="S94" s="349">
        <f t="shared" si="1"/>
        <v>0</v>
      </c>
      <c r="T94" s="350"/>
      <c r="U94" s="350"/>
      <c r="V94" s="350"/>
      <c r="W94" s="350"/>
      <c r="X94" s="351"/>
      <c r="Y94" s="349">
        <f t="shared" si="2"/>
        <v>0</v>
      </c>
      <c r="Z94" s="350"/>
      <c r="AA94" s="350"/>
      <c r="AB94" s="350"/>
      <c r="AC94" s="350"/>
      <c r="AD94" s="351"/>
      <c r="AE94" s="349">
        <f t="shared" si="3"/>
        <v>0</v>
      </c>
      <c r="AF94" s="350"/>
      <c r="AG94" s="350"/>
      <c r="AH94" s="350"/>
      <c r="AI94" s="350"/>
      <c r="AJ94" s="352"/>
      <c r="AK94" s="353">
        <f t="shared" si="4"/>
        <v>0</v>
      </c>
      <c r="AL94" s="354"/>
      <c r="AM94" s="354"/>
      <c r="AN94" s="354"/>
      <c r="AO94" s="354"/>
      <c r="AP94" s="355"/>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0"/>
        <v>0</v>
      </c>
      <c r="BA94" s="6">
        <f t="shared" si="7"/>
        <v>0</v>
      </c>
    </row>
    <row r="95" spans="2:53" x14ac:dyDescent="0.3">
      <c r="B95" s="356"/>
      <c r="C95" s="357"/>
      <c r="D95" s="357"/>
      <c r="E95" s="357"/>
      <c r="F95" s="358"/>
      <c r="G95" s="359"/>
      <c r="H95" s="360"/>
      <c r="I95" s="360"/>
      <c r="J95" s="360"/>
      <c r="K95" s="360"/>
      <c r="L95" s="361"/>
      <c r="M95" s="359"/>
      <c r="N95" s="360"/>
      <c r="O95" s="360"/>
      <c r="P95" s="360"/>
      <c r="Q95" s="360"/>
      <c r="R95" s="361"/>
      <c r="S95" s="349">
        <f t="shared" si="1"/>
        <v>0</v>
      </c>
      <c r="T95" s="350"/>
      <c r="U95" s="350"/>
      <c r="V95" s="350"/>
      <c r="W95" s="350"/>
      <c r="X95" s="351"/>
      <c r="Y95" s="349">
        <f t="shared" si="2"/>
        <v>0</v>
      </c>
      <c r="Z95" s="350"/>
      <c r="AA95" s="350"/>
      <c r="AB95" s="350"/>
      <c r="AC95" s="350"/>
      <c r="AD95" s="351"/>
      <c r="AE95" s="349">
        <f t="shared" si="3"/>
        <v>0</v>
      </c>
      <c r="AF95" s="350"/>
      <c r="AG95" s="350"/>
      <c r="AH95" s="350"/>
      <c r="AI95" s="350"/>
      <c r="AJ95" s="352"/>
      <c r="AK95" s="353">
        <f t="shared" si="4"/>
        <v>0</v>
      </c>
      <c r="AL95" s="354"/>
      <c r="AM95" s="354"/>
      <c r="AN95" s="354"/>
      <c r="AO95" s="354"/>
      <c r="AP95" s="355"/>
      <c r="AQ95" s="38"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0"/>
        <v>0</v>
      </c>
      <c r="BA95" s="6">
        <f t="shared" si="7"/>
        <v>0</v>
      </c>
    </row>
    <row r="96" spans="2:53" x14ac:dyDescent="0.3">
      <c r="B96" s="356"/>
      <c r="C96" s="357"/>
      <c r="D96" s="357"/>
      <c r="E96" s="357"/>
      <c r="F96" s="358"/>
      <c r="G96" s="359"/>
      <c r="H96" s="360"/>
      <c r="I96" s="360"/>
      <c r="J96" s="360"/>
      <c r="K96" s="360"/>
      <c r="L96" s="361"/>
      <c r="M96" s="359"/>
      <c r="N96" s="360"/>
      <c r="O96" s="360"/>
      <c r="P96" s="360"/>
      <c r="Q96" s="360"/>
      <c r="R96" s="361"/>
      <c r="S96" s="349">
        <f t="shared" si="1"/>
        <v>0</v>
      </c>
      <c r="T96" s="350"/>
      <c r="U96" s="350"/>
      <c r="V96" s="350"/>
      <c r="W96" s="350"/>
      <c r="X96" s="351"/>
      <c r="Y96" s="349">
        <f t="shared" si="2"/>
        <v>0</v>
      </c>
      <c r="Z96" s="350"/>
      <c r="AA96" s="350"/>
      <c r="AB96" s="350"/>
      <c r="AC96" s="350"/>
      <c r="AD96" s="351"/>
      <c r="AE96" s="349">
        <f t="shared" si="3"/>
        <v>0</v>
      </c>
      <c r="AF96" s="350"/>
      <c r="AG96" s="350"/>
      <c r="AH96" s="350"/>
      <c r="AI96" s="350"/>
      <c r="AJ96" s="352"/>
      <c r="AK96" s="353">
        <f t="shared" si="4"/>
        <v>0</v>
      </c>
      <c r="AL96" s="354"/>
      <c r="AM96" s="354"/>
      <c r="AN96" s="354"/>
      <c r="AO96" s="354"/>
      <c r="AP96" s="355"/>
      <c r="AQ96" s="38"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0"/>
        <v>0</v>
      </c>
      <c r="BA96" s="6">
        <f t="shared" si="7"/>
        <v>0</v>
      </c>
    </row>
    <row r="97" spans="2:53" x14ac:dyDescent="0.3">
      <c r="B97" s="356"/>
      <c r="C97" s="357"/>
      <c r="D97" s="357"/>
      <c r="E97" s="357"/>
      <c r="F97" s="358"/>
      <c r="G97" s="359"/>
      <c r="H97" s="360"/>
      <c r="I97" s="360"/>
      <c r="J97" s="360"/>
      <c r="K97" s="360"/>
      <c r="L97" s="361"/>
      <c r="M97" s="359"/>
      <c r="N97" s="360"/>
      <c r="O97" s="360"/>
      <c r="P97" s="360"/>
      <c r="Q97" s="360"/>
      <c r="R97" s="361"/>
      <c r="S97" s="349">
        <f t="shared" si="1"/>
        <v>0</v>
      </c>
      <c r="T97" s="350"/>
      <c r="U97" s="350"/>
      <c r="V97" s="350"/>
      <c r="W97" s="350"/>
      <c r="X97" s="351"/>
      <c r="Y97" s="349">
        <f t="shared" si="2"/>
        <v>0</v>
      </c>
      <c r="Z97" s="350"/>
      <c r="AA97" s="350"/>
      <c r="AB97" s="350"/>
      <c r="AC97" s="350"/>
      <c r="AD97" s="351"/>
      <c r="AE97" s="349">
        <f t="shared" si="3"/>
        <v>0</v>
      </c>
      <c r="AF97" s="350"/>
      <c r="AG97" s="350"/>
      <c r="AH97" s="350"/>
      <c r="AI97" s="350"/>
      <c r="AJ97" s="352"/>
      <c r="AK97" s="353">
        <f t="shared" si="4"/>
        <v>0</v>
      </c>
      <c r="AL97" s="354"/>
      <c r="AM97" s="354"/>
      <c r="AN97" s="354"/>
      <c r="AO97" s="354"/>
      <c r="AP97" s="355"/>
      <c r="AQ97" s="38"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0"/>
        <v>0</v>
      </c>
      <c r="BA97" s="6">
        <f t="shared" si="7"/>
        <v>0</v>
      </c>
    </row>
    <row r="98" spans="2:53" x14ac:dyDescent="0.3">
      <c r="B98" s="356"/>
      <c r="C98" s="357"/>
      <c r="D98" s="357"/>
      <c r="E98" s="357"/>
      <c r="F98" s="358"/>
      <c r="G98" s="359"/>
      <c r="H98" s="360"/>
      <c r="I98" s="360"/>
      <c r="J98" s="360"/>
      <c r="K98" s="360"/>
      <c r="L98" s="361"/>
      <c r="M98" s="359"/>
      <c r="N98" s="360"/>
      <c r="O98" s="360"/>
      <c r="P98" s="360"/>
      <c r="Q98" s="360"/>
      <c r="R98" s="361"/>
      <c r="S98" s="349">
        <f t="shared" si="1"/>
        <v>0</v>
      </c>
      <c r="T98" s="350"/>
      <c r="U98" s="350"/>
      <c r="V98" s="350"/>
      <c r="W98" s="350"/>
      <c r="X98" s="351"/>
      <c r="Y98" s="349">
        <f t="shared" si="2"/>
        <v>0</v>
      </c>
      <c r="Z98" s="350"/>
      <c r="AA98" s="350"/>
      <c r="AB98" s="350"/>
      <c r="AC98" s="350"/>
      <c r="AD98" s="351"/>
      <c r="AE98" s="349">
        <f t="shared" si="3"/>
        <v>0</v>
      </c>
      <c r="AF98" s="350"/>
      <c r="AG98" s="350"/>
      <c r="AH98" s="350"/>
      <c r="AI98" s="350"/>
      <c r="AJ98" s="352"/>
      <c r="AK98" s="353">
        <f t="shared" si="4"/>
        <v>0</v>
      </c>
      <c r="AL98" s="354"/>
      <c r="AM98" s="354"/>
      <c r="AN98" s="354"/>
      <c r="AO98" s="354"/>
      <c r="AP98" s="355"/>
      <c r="AQ98" s="38"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0"/>
        <v>0</v>
      </c>
      <c r="BA98" s="6">
        <f t="shared" si="7"/>
        <v>0</v>
      </c>
    </row>
    <row r="99" spans="2:53" x14ac:dyDescent="0.3">
      <c r="B99" s="356"/>
      <c r="C99" s="357"/>
      <c r="D99" s="357"/>
      <c r="E99" s="357"/>
      <c r="F99" s="358"/>
      <c r="G99" s="359"/>
      <c r="H99" s="360"/>
      <c r="I99" s="360"/>
      <c r="J99" s="360"/>
      <c r="K99" s="360"/>
      <c r="L99" s="361"/>
      <c r="M99" s="359"/>
      <c r="N99" s="360"/>
      <c r="O99" s="360"/>
      <c r="P99" s="360"/>
      <c r="Q99" s="360"/>
      <c r="R99" s="361"/>
      <c r="S99" s="349">
        <f t="shared" si="1"/>
        <v>0</v>
      </c>
      <c r="T99" s="350"/>
      <c r="U99" s="350"/>
      <c r="V99" s="350"/>
      <c r="W99" s="350"/>
      <c r="X99" s="351"/>
      <c r="Y99" s="349">
        <f t="shared" si="2"/>
        <v>0</v>
      </c>
      <c r="Z99" s="350"/>
      <c r="AA99" s="350"/>
      <c r="AB99" s="350"/>
      <c r="AC99" s="350"/>
      <c r="AD99" s="351"/>
      <c r="AE99" s="349">
        <f t="shared" si="3"/>
        <v>0</v>
      </c>
      <c r="AF99" s="350"/>
      <c r="AG99" s="350"/>
      <c r="AH99" s="350"/>
      <c r="AI99" s="350"/>
      <c r="AJ99" s="352"/>
      <c r="AK99" s="353">
        <f t="shared" si="4"/>
        <v>0</v>
      </c>
      <c r="AL99" s="354"/>
      <c r="AM99" s="354"/>
      <c r="AN99" s="354"/>
      <c r="AO99" s="354"/>
      <c r="AP99" s="355"/>
      <c r="AQ99" s="38"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0"/>
        <v>0</v>
      </c>
      <c r="BA99" s="6">
        <f t="shared" si="7"/>
        <v>0</v>
      </c>
    </row>
    <row r="100" spans="2:53" x14ac:dyDescent="0.3">
      <c r="B100" s="356"/>
      <c r="C100" s="357"/>
      <c r="D100" s="357"/>
      <c r="E100" s="357"/>
      <c r="F100" s="358"/>
      <c r="G100" s="359"/>
      <c r="H100" s="360"/>
      <c r="I100" s="360"/>
      <c r="J100" s="360"/>
      <c r="K100" s="360"/>
      <c r="L100" s="361"/>
      <c r="M100" s="359"/>
      <c r="N100" s="360"/>
      <c r="O100" s="360"/>
      <c r="P100" s="360"/>
      <c r="Q100" s="360"/>
      <c r="R100" s="361"/>
      <c r="S100" s="349">
        <f t="shared" si="1"/>
        <v>0</v>
      </c>
      <c r="T100" s="350"/>
      <c r="U100" s="350"/>
      <c r="V100" s="350"/>
      <c r="W100" s="350"/>
      <c r="X100" s="351"/>
      <c r="Y100" s="349">
        <f t="shared" si="2"/>
        <v>0</v>
      </c>
      <c r="Z100" s="350"/>
      <c r="AA100" s="350"/>
      <c r="AB100" s="350"/>
      <c r="AC100" s="350"/>
      <c r="AD100" s="351"/>
      <c r="AE100" s="349">
        <f t="shared" si="3"/>
        <v>0</v>
      </c>
      <c r="AF100" s="350"/>
      <c r="AG100" s="350"/>
      <c r="AH100" s="350"/>
      <c r="AI100" s="350"/>
      <c r="AJ100" s="352"/>
      <c r="AK100" s="353">
        <f t="shared" si="4"/>
        <v>0</v>
      </c>
      <c r="AL100" s="354"/>
      <c r="AM100" s="354"/>
      <c r="AN100" s="354"/>
      <c r="AO100" s="354"/>
      <c r="AP100" s="355"/>
      <c r="AQ100" s="38"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0"/>
        <v>0</v>
      </c>
      <c r="BA100" s="6">
        <f t="shared" si="7"/>
        <v>0</v>
      </c>
    </row>
    <row r="101" spans="2:53" x14ac:dyDescent="0.3">
      <c r="B101" s="356"/>
      <c r="C101" s="357"/>
      <c r="D101" s="357"/>
      <c r="E101" s="357"/>
      <c r="F101" s="358"/>
      <c r="G101" s="359"/>
      <c r="H101" s="360"/>
      <c r="I101" s="360"/>
      <c r="J101" s="360"/>
      <c r="K101" s="360"/>
      <c r="L101" s="361"/>
      <c r="M101" s="359"/>
      <c r="N101" s="360"/>
      <c r="O101" s="360"/>
      <c r="P101" s="360"/>
      <c r="Q101" s="360"/>
      <c r="R101" s="361"/>
      <c r="S101" s="349">
        <f t="shared" si="1"/>
        <v>0</v>
      </c>
      <c r="T101" s="350"/>
      <c r="U101" s="350"/>
      <c r="V101" s="350"/>
      <c r="W101" s="350"/>
      <c r="X101" s="351"/>
      <c r="Y101" s="349">
        <f t="shared" si="2"/>
        <v>0</v>
      </c>
      <c r="Z101" s="350"/>
      <c r="AA101" s="350"/>
      <c r="AB101" s="350"/>
      <c r="AC101" s="350"/>
      <c r="AD101" s="351"/>
      <c r="AE101" s="349">
        <f t="shared" si="3"/>
        <v>0</v>
      </c>
      <c r="AF101" s="350"/>
      <c r="AG101" s="350"/>
      <c r="AH101" s="350"/>
      <c r="AI101" s="350"/>
      <c r="AJ101" s="352"/>
      <c r="AK101" s="353">
        <f t="shared" si="4"/>
        <v>0</v>
      </c>
      <c r="AL101" s="354"/>
      <c r="AM101" s="354"/>
      <c r="AN101" s="354"/>
      <c r="AO101" s="354"/>
      <c r="AP101" s="355"/>
      <c r="AQ101" s="38"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0"/>
        <v>0</v>
      </c>
      <c r="BA101" s="6">
        <f t="shared" si="7"/>
        <v>0</v>
      </c>
    </row>
    <row r="102" spans="2:53" x14ac:dyDescent="0.3">
      <c r="B102" s="346" t="s">
        <v>72</v>
      </c>
      <c r="C102" s="347"/>
      <c r="D102" s="347"/>
      <c r="E102" s="347"/>
      <c r="F102" s="348"/>
      <c r="G102" s="349">
        <f>SUM(G92:G101)</f>
        <v>0</v>
      </c>
      <c r="H102" s="350"/>
      <c r="I102" s="350"/>
      <c r="J102" s="350"/>
      <c r="K102" s="350"/>
      <c r="L102" s="351"/>
      <c r="M102" s="349">
        <f>SUM(M92:M101)</f>
        <v>0</v>
      </c>
      <c r="N102" s="350"/>
      <c r="O102" s="350"/>
      <c r="P102" s="350"/>
      <c r="Q102" s="350"/>
      <c r="R102" s="351"/>
      <c r="S102" s="349">
        <f>SUM(S92:S101)</f>
        <v>0</v>
      </c>
      <c r="T102" s="350"/>
      <c r="U102" s="350"/>
      <c r="V102" s="350"/>
      <c r="W102" s="350"/>
      <c r="X102" s="351"/>
      <c r="Y102" s="349">
        <f>SUM(Y92:Y101)</f>
        <v>0</v>
      </c>
      <c r="Z102" s="350"/>
      <c r="AA102" s="350"/>
      <c r="AB102" s="350"/>
      <c r="AC102" s="350"/>
      <c r="AD102" s="351"/>
      <c r="AE102" s="349">
        <f>SUM(AE92:AE101)</f>
        <v>0</v>
      </c>
      <c r="AF102" s="350"/>
      <c r="AG102" s="350"/>
      <c r="AH102" s="350"/>
      <c r="AI102" s="350"/>
      <c r="AJ102" s="352"/>
      <c r="AK102" s="353">
        <f>SUM(AK92:AK101)</f>
        <v>0</v>
      </c>
      <c r="AL102" s="354"/>
      <c r="AM102" s="354"/>
      <c r="AN102" s="354"/>
      <c r="AO102" s="354"/>
      <c r="AP102" s="355"/>
      <c r="AQ102" s="49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32"/>
      <c r="AS102" s="132"/>
      <c r="AT102" s="132"/>
      <c r="AU102" s="132"/>
      <c r="AV102" s="132"/>
      <c r="AW102" s="132"/>
      <c r="AX102" s="87"/>
    </row>
    <row r="103" spans="2:53" ht="30.75" customHeight="1" x14ac:dyDescent="0.3">
      <c r="B103" s="8"/>
      <c r="AQ103" s="132"/>
      <c r="AR103" s="132"/>
      <c r="AS103" s="132"/>
      <c r="AT103" s="132"/>
      <c r="AU103" s="132"/>
      <c r="AV103" s="132"/>
      <c r="AW103" s="132"/>
      <c r="AX103" s="87"/>
    </row>
    <row r="104" spans="2:53" x14ac:dyDescent="0.3">
      <c r="B104" s="497" t="s">
        <v>73</v>
      </c>
      <c r="C104" s="497"/>
      <c r="D104" s="497"/>
      <c r="E104" s="497"/>
      <c r="F104" s="497"/>
      <c r="G104" s="497"/>
      <c r="H104" s="497"/>
      <c r="I104" s="497"/>
      <c r="J104" s="497"/>
      <c r="K104" s="497"/>
      <c r="L104" s="8" t="s">
        <v>5</v>
      </c>
      <c r="M104" s="449" t="str">
        <f>PROPER(D45)</f>
        <v xml:space="preserve"> </v>
      </c>
      <c r="N104" s="449"/>
      <c r="O104" s="449"/>
      <c r="P104" s="449"/>
      <c r="Q104" s="449"/>
      <c r="R104" s="449"/>
      <c r="S104" s="449"/>
      <c r="T104" s="449"/>
      <c r="U104" s="449"/>
      <c r="V104" s="449"/>
      <c r="W104" s="449"/>
      <c r="X104" s="449"/>
      <c r="Y104" s="449"/>
      <c r="Z104" s="449"/>
      <c r="AB104" s="434" t="s">
        <v>51</v>
      </c>
      <c r="AC104" s="434"/>
      <c r="AD104" s="434"/>
      <c r="AE104" s="434"/>
      <c r="AF104" s="434"/>
      <c r="AG104" s="434"/>
      <c r="AH104" s="434"/>
      <c r="AI104" s="434"/>
      <c r="AJ104" s="434"/>
      <c r="AK104" s="434"/>
      <c r="AL104" s="434"/>
      <c r="AM104" s="434"/>
    </row>
  </sheetData>
  <sheetProtection algorithmName="SHA-512" hashValue="O0AIFrlan1e+mxJ16ycnoB2MLHH1BeN5CxLwIR5r8bvE/ugnhKu6P5vgbWiFqYsRdA9+BoP7V8idtca4GhfAPg==" saltValue="hVEkqoru83cqnDanEGBG0Q==" spinCount="100000" sheet="1" objects="1" scenarios="1" selectLockedCells="1"/>
  <mergeCells count="201">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U14:AN14"/>
    <mergeCell ref="D15:S15"/>
    <mergeCell ref="U15:AN15"/>
    <mergeCell ref="D22:S22"/>
    <mergeCell ref="U22:AN22"/>
    <mergeCell ref="C24:AN24"/>
    <mergeCell ref="D19:S19"/>
    <mergeCell ref="U19:AN19"/>
    <mergeCell ref="D20:S20"/>
    <mergeCell ref="U20:AN20"/>
    <mergeCell ref="D21:S21"/>
    <mergeCell ref="U21:AN21"/>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311" t="str">
        <f>IF(ISBLANK('Basic Information'!M3),"",UPPER('Basic Information'!M3))</f>
        <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540"/>
      <c r="BG1" s="540"/>
      <c r="BH1" s="540"/>
      <c r="BI1" s="540"/>
      <c r="BJ1" s="541"/>
    </row>
    <row r="2" spans="2:74" ht="18.600000000000001" customHeight="1" x14ac:dyDescent="0.3">
      <c r="B2" s="315" t="s">
        <v>162</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27"/>
      <c r="BG2" s="327"/>
      <c r="BH2" s="327"/>
      <c r="BI2" s="327"/>
      <c r="BJ2" s="542"/>
      <c r="BQ2" s="232" t="s">
        <v>126</v>
      </c>
      <c r="BR2" s="233"/>
      <c r="BS2" s="233"/>
      <c r="BT2" s="233"/>
      <c r="BU2" s="233"/>
    </row>
    <row r="3" spans="2:74" ht="18.600000000000001" customHeight="1" x14ac:dyDescent="0.3">
      <c r="B3" s="319" t="s">
        <v>168</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7"/>
      <c r="BG3" s="327"/>
      <c r="BH3" s="327"/>
      <c r="BI3" s="327"/>
      <c r="BJ3" s="542"/>
      <c r="BQ3" s="233"/>
      <c r="BR3" s="233"/>
      <c r="BS3" s="233"/>
      <c r="BT3" s="233"/>
      <c r="BU3" s="233"/>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43" t="s">
        <v>20</v>
      </c>
      <c r="BR4" s="544"/>
      <c r="BS4" s="544"/>
      <c r="BT4" s="544"/>
      <c r="BU4" s="544"/>
    </row>
    <row r="5" spans="2:74" ht="16.5" customHeight="1" x14ac:dyDescent="0.3">
      <c r="B5" s="261" t="s">
        <v>13</v>
      </c>
      <c r="C5" s="96"/>
      <c r="D5" s="96"/>
      <c r="E5" s="96"/>
      <c r="F5" s="96"/>
      <c r="G5" s="96"/>
      <c r="H5" s="96"/>
      <c r="I5" s="97"/>
      <c r="J5" s="97"/>
      <c r="K5" s="14" t="s">
        <v>5</v>
      </c>
      <c r="L5" s="258" t="str">
        <f>IF(ISBLANK('Basic Information'!L6)," ",PROPER('Basic Information'!L6))</f>
        <v xml:space="preserve"> </v>
      </c>
      <c r="M5" s="545"/>
      <c r="N5" s="545"/>
      <c r="O5" s="545"/>
      <c r="P5" s="545"/>
      <c r="Q5" s="545"/>
      <c r="R5" s="545"/>
      <c r="S5" s="545"/>
      <c r="T5" s="545"/>
      <c r="U5" s="545"/>
      <c r="V5" s="545"/>
      <c r="W5" s="545"/>
      <c r="X5" s="545"/>
      <c r="Y5" s="545"/>
      <c r="Z5" s="545"/>
      <c r="AA5" s="545"/>
      <c r="AB5" s="545"/>
      <c r="AC5" s="545"/>
      <c r="AD5" s="545"/>
      <c r="AE5" s="546"/>
      <c r="AF5" s="29"/>
      <c r="AG5" s="96" t="s">
        <v>105</v>
      </c>
      <c r="AH5" s="97"/>
      <c r="AI5" s="97"/>
      <c r="AJ5" s="97"/>
      <c r="AK5" s="97"/>
      <c r="AL5" s="97"/>
      <c r="AM5" s="14" t="s">
        <v>5</v>
      </c>
      <c r="AN5" s="258" t="str">
        <f>IF(ISBLANK('Basic Information'!AK6)," ",UPPER('Basic Information'!AK6))</f>
        <v xml:space="preserve"> </v>
      </c>
      <c r="AO5" s="259"/>
      <c r="AP5" s="259"/>
      <c r="AQ5" s="259"/>
      <c r="AR5" s="259"/>
      <c r="AS5" s="259"/>
      <c r="AT5" s="259"/>
      <c r="AU5" s="259"/>
      <c r="AV5" s="259"/>
      <c r="AW5" s="259"/>
      <c r="AX5" s="259"/>
      <c r="AY5" s="259"/>
      <c r="AZ5" s="259"/>
      <c r="BA5" s="259"/>
      <c r="BB5" s="259"/>
      <c r="BC5" s="259"/>
      <c r="BD5" s="259"/>
      <c r="BE5" s="260"/>
      <c r="BJ5" s="21"/>
      <c r="BQ5" s="544"/>
      <c r="BR5" s="544"/>
      <c r="BS5" s="544"/>
      <c r="BT5" s="544"/>
      <c r="BU5" s="544"/>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323" t="s">
        <v>125</v>
      </c>
      <c r="BS6" s="324"/>
      <c r="BT6" s="324"/>
      <c r="BU6" s="324"/>
    </row>
    <row r="7" spans="2:74" ht="16.5" customHeight="1" x14ac:dyDescent="0.35">
      <c r="B7" s="262" t="s">
        <v>15</v>
      </c>
      <c r="C7" s="263"/>
      <c r="D7" s="263"/>
      <c r="E7" s="263"/>
      <c r="F7" s="263"/>
      <c r="G7" s="263"/>
      <c r="H7" s="263"/>
      <c r="I7" s="263"/>
      <c r="J7" s="547"/>
      <c r="K7" s="90" t="s">
        <v>5</v>
      </c>
      <c r="L7" s="258" t="str">
        <f>IF(ISBLANK('Basic Information'!L10)," ",PROPER('Basic Information'!L10))</f>
        <v xml:space="preserve"> </v>
      </c>
      <c r="M7" s="548"/>
      <c r="N7" s="548"/>
      <c r="O7" s="548"/>
      <c r="P7" s="548"/>
      <c r="Q7" s="548"/>
      <c r="R7" s="548"/>
      <c r="S7" s="548"/>
      <c r="T7" s="548"/>
      <c r="U7" s="548"/>
      <c r="V7" s="548"/>
      <c r="W7" s="548"/>
      <c r="X7" s="548"/>
      <c r="Y7" s="548"/>
      <c r="Z7" s="548"/>
      <c r="AA7" s="548"/>
      <c r="AB7" s="548"/>
      <c r="AC7" s="548"/>
      <c r="AD7" s="548"/>
      <c r="AE7" s="549"/>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4"/>
      <c r="BS7" s="324"/>
      <c r="BT7" s="324"/>
      <c r="BU7" s="324"/>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43" t="s">
        <v>21</v>
      </c>
      <c r="BR8" s="550"/>
      <c r="BS8" s="550"/>
      <c r="BT8" s="550"/>
      <c r="BU8" s="550"/>
    </row>
    <row r="9" spans="2:74" ht="15" customHeight="1" x14ac:dyDescent="0.3">
      <c r="B9" s="341" t="s">
        <v>236</v>
      </c>
      <c r="C9" s="284"/>
      <c r="D9" s="284"/>
      <c r="E9" s="284"/>
      <c r="F9" s="284"/>
      <c r="G9" s="284"/>
      <c r="H9" s="284"/>
      <c r="I9" s="284"/>
      <c r="J9" s="284"/>
      <c r="K9" s="284"/>
      <c r="L9" s="284"/>
      <c r="M9" s="284"/>
      <c r="N9" s="284"/>
      <c r="O9" s="284"/>
      <c r="P9" s="284"/>
      <c r="Q9" s="284"/>
      <c r="R9" s="284"/>
      <c r="S9" s="284"/>
      <c r="T9" s="284"/>
      <c r="U9" s="285"/>
      <c r="V9" s="286"/>
      <c r="W9" s="286"/>
      <c r="X9" s="286"/>
      <c r="Y9" s="286"/>
      <c r="Z9" s="286"/>
      <c r="AA9" s="286"/>
      <c r="AB9" s="286"/>
      <c r="AC9" s="286"/>
      <c r="AD9" s="286"/>
      <c r="AE9" s="286"/>
      <c r="AF9" s="286"/>
      <c r="AG9" s="286"/>
      <c r="AH9" s="286"/>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50"/>
      <c r="BR9" s="550"/>
      <c r="BS9" s="550"/>
      <c r="BT9" s="550"/>
      <c r="BU9" s="550"/>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326" t="s">
        <v>124</v>
      </c>
      <c r="BR10" s="327"/>
      <c r="BS10" s="327"/>
      <c r="BT10" s="327"/>
      <c r="BU10" s="327"/>
      <c r="BV10" s="327"/>
    </row>
    <row r="11" spans="2:74" ht="15" customHeight="1" x14ac:dyDescent="0.3">
      <c r="B11" s="266" t="s">
        <v>0</v>
      </c>
      <c r="C11" s="501"/>
      <c r="D11" s="501"/>
      <c r="E11" s="501"/>
      <c r="F11" s="501"/>
      <c r="G11" s="501"/>
      <c r="H11" s="501"/>
      <c r="I11" s="501"/>
      <c r="J11" s="501"/>
      <c r="K11" s="270" t="s">
        <v>1</v>
      </c>
      <c r="L11" s="271"/>
      <c r="M11" s="271"/>
      <c r="N11" s="271"/>
      <c r="O11" s="271"/>
      <c r="P11" s="271"/>
      <c r="Q11" s="273"/>
      <c r="R11" s="270" t="s">
        <v>2</v>
      </c>
      <c r="S11" s="273"/>
      <c r="T11" s="273"/>
      <c r="U11" s="273"/>
      <c r="V11" s="273"/>
      <c r="W11" s="273"/>
      <c r="X11" s="274"/>
      <c r="Y11" s="310" t="s">
        <v>3</v>
      </c>
      <c r="Z11" s="273"/>
      <c r="AA11" s="273"/>
      <c r="AB11" s="273"/>
      <c r="AC11" s="273"/>
      <c r="AD11" s="273"/>
      <c r="AE11" s="274"/>
      <c r="AF11" s="310" t="s">
        <v>4</v>
      </c>
      <c r="AG11" s="273"/>
      <c r="AH11" s="273"/>
      <c r="AI11" s="273"/>
      <c r="AJ11" s="273"/>
      <c r="AK11" s="273"/>
      <c r="AL11" s="274"/>
      <c r="BJ11" s="21"/>
      <c r="BQ11" s="327"/>
      <c r="BR11" s="327"/>
      <c r="BS11" s="327"/>
      <c r="BT11" s="327"/>
      <c r="BU11" s="327"/>
      <c r="BV11" s="327"/>
    </row>
    <row r="12" spans="2:74" ht="16.5" customHeight="1" x14ac:dyDescent="0.3">
      <c r="B12" s="173" t="s">
        <v>28</v>
      </c>
      <c r="C12" s="534"/>
      <c r="D12" s="534"/>
      <c r="E12" s="534"/>
      <c r="F12" s="534"/>
      <c r="G12" s="534"/>
      <c r="H12" s="537">
        <v>2025</v>
      </c>
      <c r="I12" s="538"/>
      <c r="J12" s="539"/>
      <c r="K12" s="528">
        <f>IF(ISNUMBER('Income Tax Proforma - Old Schem'!K12),'Income Tax Proforma - Old Schem'!K12,0)</f>
        <v>0</v>
      </c>
      <c r="L12" s="529"/>
      <c r="M12" s="529"/>
      <c r="N12" s="529"/>
      <c r="O12" s="529"/>
      <c r="P12" s="529"/>
      <c r="Q12" s="529"/>
      <c r="R12" s="528">
        <f>IF(ISNUMBER('Income Tax Proforma - Old Schem'!Q12),'Income Tax Proforma - Old Schem'!Q12,0)</f>
        <v>0</v>
      </c>
      <c r="S12" s="529"/>
      <c r="T12" s="529"/>
      <c r="U12" s="529"/>
      <c r="V12" s="529"/>
      <c r="W12" s="529"/>
      <c r="X12" s="530"/>
      <c r="Y12" s="528">
        <f>IF(ISNUMBER('Income Tax Proforma - Old Schem'!W12),'Income Tax Proforma - Old Schem'!W12,0)</f>
        <v>0</v>
      </c>
      <c r="Z12" s="529"/>
      <c r="AA12" s="529"/>
      <c r="AB12" s="529"/>
      <c r="AC12" s="529"/>
      <c r="AD12" s="529"/>
      <c r="AE12" s="529"/>
      <c r="AF12" s="531">
        <f>SUM(K12,R12,Y12)</f>
        <v>0</v>
      </c>
      <c r="AG12" s="532"/>
      <c r="AH12" s="532"/>
      <c r="AI12" s="532"/>
      <c r="AJ12" s="532"/>
      <c r="AK12" s="532"/>
      <c r="AL12" s="533"/>
      <c r="BJ12" s="21"/>
      <c r="BQ12" s="334" t="s">
        <v>36</v>
      </c>
      <c r="BR12" s="335"/>
      <c r="BS12" s="335"/>
      <c r="BT12" s="335"/>
      <c r="BU12" s="335"/>
      <c r="BV12" s="335"/>
    </row>
    <row r="13" spans="2:74" ht="16.5" customHeight="1" x14ac:dyDescent="0.3">
      <c r="B13" s="173" t="s">
        <v>29</v>
      </c>
      <c r="C13" s="534"/>
      <c r="D13" s="534"/>
      <c r="E13" s="534"/>
      <c r="F13" s="534"/>
      <c r="G13" s="534"/>
      <c r="H13" s="537">
        <v>2025</v>
      </c>
      <c r="I13" s="538"/>
      <c r="J13" s="539"/>
      <c r="K13" s="528">
        <f>IF(ISNUMBER('Income Tax Proforma - Old Schem'!K13),'Income Tax Proforma - Old Schem'!K13,0)</f>
        <v>0</v>
      </c>
      <c r="L13" s="529"/>
      <c r="M13" s="529"/>
      <c r="N13" s="529"/>
      <c r="O13" s="529"/>
      <c r="P13" s="529"/>
      <c r="Q13" s="529"/>
      <c r="R13" s="528">
        <f>IF(ISNUMBER('Income Tax Proforma - Old Schem'!Q13),'Income Tax Proforma - Old Schem'!Q13,0)</f>
        <v>0</v>
      </c>
      <c r="S13" s="529"/>
      <c r="T13" s="529"/>
      <c r="U13" s="529"/>
      <c r="V13" s="529"/>
      <c r="W13" s="529"/>
      <c r="X13" s="530"/>
      <c r="Y13" s="528">
        <f>IF(ISNUMBER('Income Tax Proforma - Old Schem'!W13),'Income Tax Proforma - Old Schem'!W13,0)</f>
        <v>0</v>
      </c>
      <c r="Z13" s="529"/>
      <c r="AA13" s="529"/>
      <c r="AB13" s="529"/>
      <c r="AC13" s="529"/>
      <c r="AD13" s="529"/>
      <c r="AE13" s="529"/>
      <c r="AF13" s="531">
        <f t="shared" ref="AF13:AF23" si="0">SUM(K13,R13,Y13)</f>
        <v>0</v>
      </c>
      <c r="AG13" s="532"/>
      <c r="AH13" s="532"/>
      <c r="AI13" s="532"/>
      <c r="AJ13" s="532"/>
      <c r="AK13" s="532"/>
      <c r="AL13" s="533"/>
      <c r="BJ13" s="21"/>
      <c r="BQ13" s="114"/>
      <c r="BR13" s="114"/>
      <c r="BS13" s="114"/>
      <c r="BT13" s="114"/>
      <c r="BU13" s="114"/>
      <c r="BV13" s="114"/>
    </row>
    <row r="14" spans="2:74" ht="16.5" customHeight="1" x14ac:dyDescent="0.3">
      <c r="B14" s="173" t="s">
        <v>30</v>
      </c>
      <c r="C14" s="534"/>
      <c r="D14" s="534"/>
      <c r="E14" s="534"/>
      <c r="F14" s="534"/>
      <c r="G14" s="534"/>
      <c r="H14" s="537">
        <v>2025</v>
      </c>
      <c r="I14" s="538"/>
      <c r="J14" s="539"/>
      <c r="K14" s="528">
        <f>IF(ISNUMBER('Income Tax Proforma - Old Schem'!K14),'Income Tax Proforma - Old Schem'!K14,0)</f>
        <v>0</v>
      </c>
      <c r="L14" s="529"/>
      <c r="M14" s="529"/>
      <c r="N14" s="529"/>
      <c r="O14" s="529"/>
      <c r="P14" s="529"/>
      <c r="Q14" s="529"/>
      <c r="R14" s="528">
        <f>IF(ISNUMBER('Income Tax Proforma - Old Schem'!Q14),'Income Tax Proforma - Old Schem'!Q14,0)</f>
        <v>0</v>
      </c>
      <c r="S14" s="529"/>
      <c r="T14" s="529"/>
      <c r="U14" s="529"/>
      <c r="V14" s="529"/>
      <c r="W14" s="529"/>
      <c r="X14" s="530"/>
      <c r="Y14" s="528">
        <f>IF(ISNUMBER('Income Tax Proforma - Old Schem'!W14),'Income Tax Proforma - Old Schem'!W14,0)</f>
        <v>0</v>
      </c>
      <c r="Z14" s="529"/>
      <c r="AA14" s="529"/>
      <c r="AB14" s="529"/>
      <c r="AC14" s="529"/>
      <c r="AD14" s="529"/>
      <c r="AE14" s="529"/>
      <c r="AF14" s="531">
        <f t="shared" si="0"/>
        <v>0</v>
      </c>
      <c r="AG14" s="532"/>
      <c r="AH14" s="532"/>
      <c r="AI14" s="532"/>
      <c r="AJ14" s="532"/>
      <c r="AK14" s="532"/>
      <c r="AL14" s="533"/>
      <c r="BJ14" s="21"/>
      <c r="BR14" s="328" t="s">
        <v>22</v>
      </c>
      <c r="BS14" s="328"/>
      <c r="BT14" s="328"/>
      <c r="BU14" s="328"/>
      <c r="BV14" s="328"/>
    </row>
    <row r="15" spans="2:74" ht="16.5" customHeight="1" x14ac:dyDescent="0.3">
      <c r="B15" s="173" t="s">
        <v>31</v>
      </c>
      <c r="C15" s="534"/>
      <c r="D15" s="534"/>
      <c r="E15" s="534"/>
      <c r="F15" s="534"/>
      <c r="G15" s="534"/>
      <c r="H15" s="537">
        <v>2025</v>
      </c>
      <c r="I15" s="538"/>
      <c r="J15" s="539"/>
      <c r="K15" s="528">
        <f>IF(ISNUMBER('Income Tax Proforma - Old Schem'!K15),'Income Tax Proforma - Old Schem'!K15,0)</f>
        <v>0</v>
      </c>
      <c r="L15" s="529"/>
      <c r="M15" s="529"/>
      <c r="N15" s="529"/>
      <c r="O15" s="529"/>
      <c r="P15" s="529"/>
      <c r="Q15" s="529"/>
      <c r="R15" s="528">
        <f>IF(ISNUMBER('Income Tax Proforma - Old Schem'!Q15),'Income Tax Proforma - Old Schem'!Q15,0)</f>
        <v>0</v>
      </c>
      <c r="S15" s="529"/>
      <c r="T15" s="529"/>
      <c r="U15" s="529"/>
      <c r="V15" s="529"/>
      <c r="W15" s="529"/>
      <c r="X15" s="530"/>
      <c r="Y15" s="528">
        <f>IF(ISNUMBER('Income Tax Proforma - Old Schem'!W15),'Income Tax Proforma - Old Schem'!W15,0)</f>
        <v>0</v>
      </c>
      <c r="Z15" s="529"/>
      <c r="AA15" s="529"/>
      <c r="AB15" s="529"/>
      <c r="AC15" s="529"/>
      <c r="AD15" s="529"/>
      <c r="AE15" s="529"/>
      <c r="AF15" s="531">
        <f t="shared" si="0"/>
        <v>0</v>
      </c>
      <c r="AG15" s="532"/>
      <c r="AH15" s="532"/>
      <c r="AI15" s="532"/>
      <c r="AJ15" s="532"/>
      <c r="AK15" s="532"/>
      <c r="AL15" s="533"/>
      <c r="BJ15" s="21"/>
    </row>
    <row r="16" spans="2:74" ht="16.5" customHeight="1" x14ac:dyDescent="0.3">
      <c r="B16" s="173" t="s">
        <v>32</v>
      </c>
      <c r="C16" s="534"/>
      <c r="D16" s="534"/>
      <c r="E16" s="534"/>
      <c r="F16" s="534"/>
      <c r="G16" s="534"/>
      <c r="H16" s="537">
        <v>2025</v>
      </c>
      <c r="I16" s="538"/>
      <c r="J16" s="539"/>
      <c r="K16" s="528">
        <f>IF(ISNUMBER('Income Tax Proforma - Old Schem'!K16),'Income Tax Proforma - Old Schem'!K16,0)</f>
        <v>0</v>
      </c>
      <c r="L16" s="529"/>
      <c r="M16" s="529"/>
      <c r="N16" s="529"/>
      <c r="O16" s="529"/>
      <c r="P16" s="529"/>
      <c r="Q16" s="529"/>
      <c r="R16" s="528">
        <f>IF(ISNUMBER('Income Tax Proforma - Old Schem'!Q16),'Income Tax Proforma - Old Schem'!Q16,0)</f>
        <v>0</v>
      </c>
      <c r="S16" s="529"/>
      <c r="T16" s="529"/>
      <c r="U16" s="529"/>
      <c r="V16" s="529"/>
      <c r="W16" s="529"/>
      <c r="X16" s="530"/>
      <c r="Y16" s="528">
        <f>IF(ISNUMBER('Income Tax Proforma - Old Schem'!W16),'Income Tax Proforma - Old Schem'!W16,0)</f>
        <v>0</v>
      </c>
      <c r="Z16" s="529"/>
      <c r="AA16" s="529"/>
      <c r="AB16" s="529"/>
      <c r="AC16" s="529"/>
      <c r="AD16" s="529"/>
      <c r="AE16" s="529"/>
      <c r="AF16" s="531">
        <f t="shared" si="0"/>
        <v>0</v>
      </c>
      <c r="AG16" s="532"/>
      <c r="AH16" s="532"/>
      <c r="AI16" s="532"/>
      <c r="AJ16" s="532"/>
      <c r="AK16" s="532"/>
      <c r="AL16" s="533"/>
      <c r="BJ16" s="21"/>
      <c r="BP16" s="6"/>
      <c r="BQ16" s="332" t="s">
        <v>139</v>
      </c>
      <c r="BR16" s="333"/>
      <c r="BS16" s="333"/>
      <c r="BT16" s="333"/>
      <c r="BU16" s="333"/>
      <c r="BV16" s="333"/>
    </row>
    <row r="17" spans="2:74" ht="16.5" customHeight="1" x14ac:dyDescent="0.3">
      <c r="B17" s="173" t="s">
        <v>33</v>
      </c>
      <c r="C17" s="534"/>
      <c r="D17" s="534"/>
      <c r="E17" s="534"/>
      <c r="F17" s="534"/>
      <c r="G17" s="534"/>
      <c r="H17" s="537">
        <v>2025</v>
      </c>
      <c r="I17" s="538"/>
      <c r="J17" s="539"/>
      <c r="K17" s="528">
        <f>IF(ISNUMBER('Income Tax Proforma - Old Schem'!K17),'Income Tax Proforma - Old Schem'!K17,0)</f>
        <v>0</v>
      </c>
      <c r="L17" s="529"/>
      <c r="M17" s="529"/>
      <c r="N17" s="529"/>
      <c r="O17" s="529"/>
      <c r="P17" s="529"/>
      <c r="Q17" s="529"/>
      <c r="R17" s="528">
        <f>IF(ISNUMBER('Income Tax Proforma - Old Schem'!Q17),'Income Tax Proforma - Old Schem'!Q17,0)</f>
        <v>0</v>
      </c>
      <c r="S17" s="529"/>
      <c r="T17" s="529"/>
      <c r="U17" s="529"/>
      <c r="V17" s="529"/>
      <c r="W17" s="529"/>
      <c r="X17" s="530"/>
      <c r="Y17" s="528">
        <f>IF(ISNUMBER('Income Tax Proforma - Old Schem'!W17),'Income Tax Proforma - Old Schem'!W17,0)</f>
        <v>0</v>
      </c>
      <c r="Z17" s="529"/>
      <c r="AA17" s="529"/>
      <c r="AB17" s="529"/>
      <c r="AC17" s="529"/>
      <c r="AD17" s="529"/>
      <c r="AE17" s="529"/>
      <c r="AF17" s="531">
        <f t="shared" si="0"/>
        <v>0</v>
      </c>
      <c r="AG17" s="532"/>
      <c r="AH17" s="532"/>
      <c r="AI17" s="532"/>
      <c r="AJ17" s="532"/>
      <c r="AK17" s="532"/>
      <c r="AL17" s="533"/>
      <c r="BJ17" s="21"/>
      <c r="BQ17" s="333"/>
      <c r="BR17" s="333"/>
      <c r="BS17" s="333"/>
      <c r="BT17" s="333"/>
      <c r="BU17" s="333"/>
      <c r="BV17" s="333"/>
    </row>
    <row r="18" spans="2:74" ht="16.5" customHeight="1" x14ac:dyDescent="0.3">
      <c r="B18" s="173" t="s">
        <v>24</v>
      </c>
      <c r="C18" s="534"/>
      <c r="D18" s="534"/>
      <c r="E18" s="534"/>
      <c r="F18" s="534"/>
      <c r="G18" s="534"/>
      <c r="H18" s="537">
        <v>2025</v>
      </c>
      <c r="I18" s="538"/>
      <c r="J18" s="539"/>
      <c r="K18" s="528">
        <f>IF(ISNUMBER('Income Tax Proforma - Old Schem'!K18),'Income Tax Proforma - Old Schem'!K18,0)</f>
        <v>0</v>
      </c>
      <c r="L18" s="529"/>
      <c r="M18" s="529"/>
      <c r="N18" s="529"/>
      <c r="O18" s="529"/>
      <c r="P18" s="529"/>
      <c r="Q18" s="529"/>
      <c r="R18" s="528">
        <f>IF(ISNUMBER('Income Tax Proforma - Old Schem'!Q18),'Income Tax Proforma - Old Schem'!Q18,0)</f>
        <v>0</v>
      </c>
      <c r="S18" s="529"/>
      <c r="T18" s="529"/>
      <c r="U18" s="529"/>
      <c r="V18" s="529"/>
      <c r="W18" s="529"/>
      <c r="X18" s="530"/>
      <c r="Y18" s="528">
        <f>IF(ISNUMBER('Income Tax Proforma - Old Schem'!W18),'Income Tax Proforma - Old Schem'!W18,0)</f>
        <v>0</v>
      </c>
      <c r="Z18" s="529"/>
      <c r="AA18" s="529"/>
      <c r="AB18" s="529"/>
      <c r="AC18" s="529"/>
      <c r="AD18" s="529"/>
      <c r="AE18" s="529"/>
      <c r="AF18" s="531">
        <f t="shared" si="0"/>
        <v>0</v>
      </c>
      <c r="AG18" s="532"/>
      <c r="AH18" s="532"/>
      <c r="AI18" s="532"/>
      <c r="AJ18" s="532"/>
      <c r="AK18" s="532"/>
      <c r="AL18" s="533"/>
      <c r="BJ18" s="21"/>
      <c r="BQ18" s="333"/>
      <c r="BR18" s="333"/>
      <c r="BS18" s="333"/>
      <c r="BT18" s="333"/>
      <c r="BU18" s="333"/>
      <c r="BV18" s="333"/>
    </row>
    <row r="19" spans="2:74" ht="16.5" customHeight="1" x14ac:dyDescent="0.3">
      <c r="B19" s="173" t="s">
        <v>34</v>
      </c>
      <c r="C19" s="534"/>
      <c r="D19" s="534"/>
      <c r="E19" s="534"/>
      <c r="F19" s="534"/>
      <c r="G19" s="534"/>
      <c r="H19" s="537">
        <v>2025</v>
      </c>
      <c r="I19" s="538"/>
      <c r="J19" s="539"/>
      <c r="K19" s="528">
        <f>IF(ISNUMBER('Income Tax Proforma - Old Schem'!K19),'Income Tax Proforma - Old Schem'!K19,0)</f>
        <v>0</v>
      </c>
      <c r="L19" s="529"/>
      <c r="M19" s="529"/>
      <c r="N19" s="529"/>
      <c r="O19" s="529"/>
      <c r="P19" s="529"/>
      <c r="Q19" s="529"/>
      <c r="R19" s="528">
        <f>IF(ISNUMBER('Income Tax Proforma - Old Schem'!Q19),'Income Tax Proforma - Old Schem'!Q19,0)</f>
        <v>0</v>
      </c>
      <c r="S19" s="529"/>
      <c r="T19" s="529"/>
      <c r="U19" s="529"/>
      <c r="V19" s="529"/>
      <c r="W19" s="529"/>
      <c r="X19" s="530"/>
      <c r="Y19" s="528">
        <f>IF(ISNUMBER('Income Tax Proforma - Old Schem'!W19),'Income Tax Proforma - Old Schem'!W19,0)</f>
        <v>0</v>
      </c>
      <c r="Z19" s="529"/>
      <c r="AA19" s="529"/>
      <c r="AB19" s="529"/>
      <c r="AC19" s="529"/>
      <c r="AD19" s="529"/>
      <c r="AE19" s="529"/>
      <c r="AF19" s="531">
        <f t="shared" si="0"/>
        <v>0</v>
      </c>
      <c r="AG19" s="532"/>
      <c r="AH19" s="532"/>
      <c r="AI19" s="532"/>
      <c r="AJ19" s="532"/>
      <c r="AK19" s="532"/>
      <c r="AL19" s="533"/>
      <c r="BJ19" s="21"/>
      <c r="BQ19" s="114"/>
      <c r="BR19" s="114"/>
      <c r="BS19" s="114"/>
      <c r="BT19" s="114"/>
      <c r="BU19" s="114"/>
      <c r="BV19" s="114"/>
    </row>
    <row r="20" spans="2:74" ht="16.5" customHeight="1" x14ac:dyDescent="0.3">
      <c r="B20" s="173" t="s">
        <v>35</v>
      </c>
      <c r="C20" s="534"/>
      <c r="D20" s="534"/>
      <c r="E20" s="534"/>
      <c r="F20" s="534"/>
      <c r="G20" s="534"/>
      <c r="H20" s="537">
        <v>2025</v>
      </c>
      <c r="I20" s="538"/>
      <c r="J20" s="539"/>
      <c r="K20" s="528">
        <f>IF(ISNUMBER('Income Tax Proforma - Old Schem'!K20),'Income Tax Proforma - Old Schem'!K20,0)</f>
        <v>0</v>
      </c>
      <c r="L20" s="529"/>
      <c r="M20" s="529"/>
      <c r="N20" s="529"/>
      <c r="O20" s="529"/>
      <c r="P20" s="529"/>
      <c r="Q20" s="529"/>
      <c r="R20" s="528">
        <f>IF(ISNUMBER('Income Tax Proforma - Old Schem'!Q20),'Income Tax Proforma - Old Schem'!Q20,0)</f>
        <v>0</v>
      </c>
      <c r="S20" s="529"/>
      <c r="T20" s="529"/>
      <c r="U20" s="529"/>
      <c r="V20" s="529"/>
      <c r="W20" s="529"/>
      <c r="X20" s="530"/>
      <c r="Y20" s="528">
        <f>IF(ISNUMBER('Income Tax Proforma - Old Schem'!W20),'Income Tax Proforma - Old Schem'!W20,0)</f>
        <v>0</v>
      </c>
      <c r="Z20" s="529"/>
      <c r="AA20" s="529"/>
      <c r="AB20" s="529"/>
      <c r="AC20" s="529"/>
      <c r="AD20" s="529"/>
      <c r="AE20" s="529"/>
      <c r="AF20" s="531">
        <f t="shared" si="0"/>
        <v>0</v>
      </c>
      <c r="AG20" s="532"/>
      <c r="AH20" s="532"/>
      <c r="AI20" s="532"/>
      <c r="AJ20" s="532"/>
      <c r="AK20" s="532"/>
      <c r="AL20" s="533"/>
      <c r="BJ20" s="21"/>
    </row>
    <row r="21" spans="2:74" ht="16.5" customHeight="1" x14ac:dyDescent="0.3">
      <c r="B21" s="173" t="s">
        <v>27</v>
      </c>
      <c r="C21" s="534"/>
      <c r="D21" s="534"/>
      <c r="E21" s="534"/>
      <c r="F21" s="534"/>
      <c r="G21" s="534"/>
      <c r="H21" s="537">
        <v>2025</v>
      </c>
      <c r="I21" s="538"/>
      <c r="J21" s="539"/>
      <c r="K21" s="528">
        <f>IF(ISNUMBER('Income Tax Proforma - Old Schem'!K21),'Income Tax Proforma - Old Schem'!K21,0)</f>
        <v>0</v>
      </c>
      <c r="L21" s="529"/>
      <c r="M21" s="529"/>
      <c r="N21" s="529"/>
      <c r="O21" s="529"/>
      <c r="P21" s="529"/>
      <c r="Q21" s="529"/>
      <c r="R21" s="528">
        <f>IF(ISNUMBER('Income Tax Proforma - Old Schem'!Q21),'Income Tax Proforma - Old Schem'!Q21,0)</f>
        <v>0</v>
      </c>
      <c r="S21" s="529"/>
      <c r="T21" s="529"/>
      <c r="U21" s="529"/>
      <c r="V21" s="529"/>
      <c r="W21" s="529"/>
      <c r="X21" s="530"/>
      <c r="Y21" s="528">
        <f>IF(ISNUMBER('Income Tax Proforma - Old Schem'!W21),'Income Tax Proforma - Old Schem'!W21,0)</f>
        <v>0</v>
      </c>
      <c r="Z21" s="529"/>
      <c r="AA21" s="529"/>
      <c r="AB21" s="529"/>
      <c r="AC21" s="529"/>
      <c r="AD21" s="529"/>
      <c r="AE21" s="529"/>
      <c r="AF21" s="531">
        <f t="shared" si="0"/>
        <v>0</v>
      </c>
      <c r="AG21" s="532"/>
      <c r="AH21" s="532"/>
      <c r="AI21" s="532"/>
      <c r="AJ21" s="532"/>
      <c r="AK21" s="532"/>
      <c r="AL21" s="533"/>
      <c r="BJ21" s="21"/>
      <c r="BR21" s="68"/>
      <c r="BS21" s="69"/>
      <c r="BT21" s="69"/>
    </row>
    <row r="22" spans="2:74" ht="16.5" customHeight="1" x14ac:dyDescent="0.45">
      <c r="B22" s="173" t="s">
        <v>26</v>
      </c>
      <c r="C22" s="534"/>
      <c r="D22" s="534"/>
      <c r="E22" s="534"/>
      <c r="F22" s="534"/>
      <c r="G22" s="534"/>
      <c r="H22" s="537">
        <v>2026</v>
      </c>
      <c r="I22" s="538"/>
      <c r="J22" s="539"/>
      <c r="K22" s="528">
        <f>IF(ISNUMBER('Income Tax Proforma - Old Schem'!K22),'Income Tax Proforma - Old Schem'!K22,0)</f>
        <v>0</v>
      </c>
      <c r="L22" s="529"/>
      <c r="M22" s="529"/>
      <c r="N22" s="529"/>
      <c r="O22" s="529"/>
      <c r="P22" s="529"/>
      <c r="Q22" s="529"/>
      <c r="R22" s="528">
        <f>IF(ISNUMBER('Income Tax Proforma - Old Schem'!Q22),'Income Tax Proforma - Old Schem'!Q22,0)</f>
        <v>0</v>
      </c>
      <c r="S22" s="529"/>
      <c r="T22" s="529"/>
      <c r="U22" s="529"/>
      <c r="V22" s="529"/>
      <c r="W22" s="529"/>
      <c r="X22" s="530"/>
      <c r="Y22" s="528">
        <f>IF(ISNUMBER('Income Tax Proforma - Old Schem'!W22),'Income Tax Proforma - Old Schem'!W22,0)</f>
        <v>0</v>
      </c>
      <c r="Z22" s="529"/>
      <c r="AA22" s="529"/>
      <c r="AB22" s="529"/>
      <c r="AC22" s="529"/>
      <c r="AD22" s="529"/>
      <c r="AE22" s="529"/>
      <c r="AF22" s="531">
        <f t="shared" si="0"/>
        <v>0</v>
      </c>
      <c r="AG22" s="532"/>
      <c r="AH22" s="532"/>
      <c r="AI22" s="532"/>
      <c r="AJ22" s="532"/>
      <c r="AK22" s="532"/>
      <c r="AL22" s="533"/>
      <c r="BJ22" s="21"/>
      <c r="BR22" s="70"/>
      <c r="BS22" s="70"/>
      <c r="BT22" s="70"/>
    </row>
    <row r="23" spans="2:74" ht="16.5" customHeight="1" x14ac:dyDescent="0.3">
      <c r="B23" s="173" t="s">
        <v>25</v>
      </c>
      <c r="C23" s="534"/>
      <c r="D23" s="534"/>
      <c r="E23" s="534"/>
      <c r="F23" s="534"/>
      <c r="G23" s="534"/>
      <c r="H23" s="537">
        <v>2026</v>
      </c>
      <c r="I23" s="538"/>
      <c r="J23" s="539"/>
      <c r="K23" s="528">
        <f>IF(ISNUMBER('Income Tax Proforma - Old Schem'!K23),'Income Tax Proforma - Old Schem'!K23,0)</f>
        <v>0</v>
      </c>
      <c r="L23" s="529"/>
      <c r="M23" s="529"/>
      <c r="N23" s="529"/>
      <c r="O23" s="529"/>
      <c r="P23" s="529"/>
      <c r="Q23" s="529"/>
      <c r="R23" s="528">
        <f>IF(ISNUMBER('Income Tax Proforma - Old Schem'!Q23),'Income Tax Proforma - Old Schem'!Q23,0)</f>
        <v>0</v>
      </c>
      <c r="S23" s="529"/>
      <c r="T23" s="529"/>
      <c r="U23" s="529"/>
      <c r="V23" s="529"/>
      <c r="W23" s="529"/>
      <c r="X23" s="530"/>
      <c r="Y23" s="528">
        <f>IF(ISNUMBER('Income Tax Proforma - Old Schem'!W23),'Income Tax Proforma - Old Schem'!W23,0)</f>
        <v>0</v>
      </c>
      <c r="Z23" s="529"/>
      <c r="AA23" s="529"/>
      <c r="AB23" s="529"/>
      <c r="AC23" s="529"/>
      <c r="AD23" s="529"/>
      <c r="AE23" s="529"/>
      <c r="AF23" s="531">
        <f t="shared" si="0"/>
        <v>0</v>
      </c>
      <c r="AG23" s="532"/>
      <c r="AH23" s="532"/>
      <c r="AI23" s="532"/>
      <c r="AJ23" s="532"/>
      <c r="AK23" s="532"/>
      <c r="AL23" s="533"/>
      <c r="BJ23" s="21"/>
    </row>
    <row r="24" spans="2:74" ht="16.5" customHeight="1" x14ac:dyDescent="0.3">
      <c r="B24" s="241" t="s">
        <v>4</v>
      </c>
      <c r="C24" s="273"/>
      <c r="D24" s="273"/>
      <c r="E24" s="273"/>
      <c r="F24" s="273"/>
      <c r="G24" s="273"/>
      <c r="H24" s="273"/>
      <c r="I24" s="273"/>
      <c r="J24" s="274"/>
      <c r="K24" s="528">
        <f>SUM(K12:K23)</f>
        <v>0</v>
      </c>
      <c r="L24" s="529"/>
      <c r="M24" s="529"/>
      <c r="N24" s="529"/>
      <c r="O24" s="529"/>
      <c r="P24" s="529"/>
      <c r="Q24" s="529"/>
      <c r="R24" s="528">
        <f>SUM(R12:R23)</f>
        <v>0</v>
      </c>
      <c r="S24" s="529"/>
      <c r="T24" s="529"/>
      <c r="U24" s="529"/>
      <c r="V24" s="529"/>
      <c r="W24" s="529"/>
      <c r="X24" s="530"/>
      <c r="Y24" s="528">
        <f>SUM(Y12:Y23)</f>
        <v>0</v>
      </c>
      <c r="Z24" s="529"/>
      <c r="AA24" s="529"/>
      <c r="AB24" s="529"/>
      <c r="AC24" s="529"/>
      <c r="AD24" s="529"/>
      <c r="AE24" s="529"/>
      <c r="AF24" s="280">
        <f>SUM(AF12:AF23)</f>
        <v>0</v>
      </c>
      <c r="AG24" s="535"/>
      <c r="AH24" s="535"/>
      <c r="AI24" s="535"/>
      <c r="AJ24" s="535"/>
      <c r="AK24" s="535"/>
      <c r="AL24" s="536"/>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43" t="s">
        <v>134</v>
      </c>
      <c r="D26" s="244"/>
      <c r="E26" s="244"/>
      <c r="F26" s="244"/>
      <c r="G26" s="244"/>
      <c r="H26" s="244"/>
      <c r="I26" s="244"/>
      <c r="J26" s="244"/>
      <c r="K26" s="244"/>
      <c r="L26" s="244"/>
      <c r="M26" s="244"/>
      <c r="N26" s="244"/>
      <c r="O26" s="244"/>
      <c r="P26" s="244"/>
      <c r="Q26" s="244"/>
      <c r="R26" s="244"/>
      <c r="S26" s="244"/>
      <c r="T26" s="244"/>
      <c r="U26" s="81" t="s">
        <v>5</v>
      </c>
      <c r="V26" s="170">
        <f>IF(ISNUMBER('Income Tax Proforma - Old Schem'!V26),'Income Tax Proforma - Old Schem'!V26,0)</f>
        <v>0</v>
      </c>
      <c r="W26" s="177"/>
      <c r="X26" s="177"/>
      <c r="Y26" s="177"/>
      <c r="Z26" s="177"/>
      <c r="AA26" s="177"/>
      <c r="AB26" s="177"/>
      <c r="AC26" s="177"/>
      <c r="AD26" s="177"/>
      <c r="AE26" s="177"/>
      <c r="AF26" s="290"/>
      <c r="AG26" s="291"/>
      <c r="AH26" s="243" t="s">
        <v>19</v>
      </c>
      <c r="AI26" s="244"/>
      <c r="AJ26" s="244"/>
      <c r="AK26" s="244"/>
      <c r="AL26" s="244"/>
      <c r="AM26" s="244"/>
      <c r="AN26" s="244"/>
      <c r="AO26" s="244"/>
      <c r="AP26" s="244"/>
      <c r="AQ26" s="244"/>
      <c r="AR26" s="244"/>
      <c r="AS26" s="244"/>
      <c r="AT26" s="244"/>
      <c r="AU26" s="244"/>
      <c r="AV26" s="244"/>
      <c r="AW26" s="244"/>
      <c r="AX26" s="244"/>
      <c r="AY26" s="244"/>
      <c r="AZ26" s="81" t="s">
        <v>5</v>
      </c>
      <c r="BA26" s="170">
        <f>IF(ISNUMBER('Income Tax Proforma - Old Schem'!BA26),'Income Tax Proforma - Old Schem'!BA26,0)</f>
        <v>0</v>
      </c>
      <c r="BB26" s="177"/>
      <c r="BC26" s="177"/>
      <c r="BD26" s="177"/>
      <c r="BE26" s="177"/>
      <c r="BF26" s="177"/>
      <c r="BG26" s="177"/>
      <c r="BH26" s="177"/>
      <c r="BI26" s="177"/>
      <c r="BJ26" s="177"/>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43" t="s">
        <v>133</v>
      </c>
      <c r="D28" s="244"/>
      <c r="E28" s="244"/>
      <c r="F28" s="244"/>
      <c r="G28" s="244"/>
      <c r="H28" s="244"/>
      <c r="I28" s="244"/>
      <c r="J28" s="244"/>
      <c r="K28" s="244"/>
      <c r="L28" s="244"/>
      <c r="M28" s="244"/>
      <c r="N28" s="244"/>
      <c r="O28" s="244"/>
      <c r="P28" s="244"/>
      <c r="Q28" s="244"/>
      <c r="R28" s="244"/>
      <c r="S28" s="244"/>
      <c r="T28" s="244"/>
      <c r="U28" s="81" t="s">
        <v>5</v>
      </c>
      <c r="V28" s="170">
        <f>IF(ISNUMBER('Income Tax Proforma - Old Schem'!V28),'Income Tax Proforma - Old Schem'!V28,0)</f>
        <v>0</v>
      </c>
      <c r="W28" s="177"/>
      <c r="X28" s="177"/>
      <c r="Y28" s="177"/>
      <c r="Z28" s="177"/>
      <c r="AA28" s="177"/>
      <c r="AB28" s="177"/>
      <c r="AC28" s="177"/>
      <c r="AD28" s="177"/>
      <c r="AE28" s="177"/>
      <c r="AF28" s="290"/>
      <c r="AG28" s="291"/>
      <c r="AH28" s="239" t="str">
        <f>IF('Basic Information'!AN12="NPS","Employer's Contribution to NPS u/s 17.(viii)","")</f>
        <v/>
      </c>
      <c r="AI28" s="240"/>
      <c r="AJ28" s="240"/>
      <c r="AK28" s="240"/>
      <c r="AL28" s="240"/>
      <c r="AM28" s="240"/>
      <c r="AN28" s="240"/>
      <c r="AO28" s="240"/>
      <c r="AP28" s="240"/>
      <c r="AQ28" s="240"/>
      <c r="AR28" s="240"/>
      <c r="AS28" s="240"/>
      <c r="AT28" s="240"/>
      <c r="AU28" s="240"/>
      <c r="AV28" s="240"/>
      <c r="AW28" s="240"/>
      <c r="AX28" s="240"/>
      <c r="AY28" s="240"/>
      <c r="AZ28" s="81" t="str">
        <f>IF('Basic Information'!AN12="NPS",":","")</f>
        <v/>
      </c>
      <c r="BA28" s="170" t="str">
        <f>IF(AND('Basic Information'!AN12="NPS",ISNUMBER('Income Tax Proforma - Old Schem'!BA28)),'Income Tax Proforma - Old Schem'!BA28,"")</f>
        <v/>
      </c>
      <c r="BB28" s="177"/>
      <c r="BC28" s="177"/>
      <c r="BD28" s="177"/>
      <c r="BE28" s="177"/>
      <c r="BF28" s="177"/>
      <c r="BG28" s="177"/>
      <c r="BH28" s="177"/>
      <c r="BI28" s="177"/>
      <c r="BJ28" s="177"/>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43" t="s">
        <v>144</v>
      </c>
      <c r="D30" s="244"/>
      <c r="E30" s="244"/>
      <c r="F30" s="244"/>
      <c r="G30" s="244"/>
      <c r="H30" s="244"/>
      <c r="I30" s="244"/>
      <c r="J30" s="244"/>
      <c r="K30" s="244"/>
      <c r="L30" s="244"/>
      <c r="M30" s="244"/>
      <c r="N30" s="244"/>
      <c r="O30" s="244"/>
      <c r="P30" s="244"/>
      <c r="Q30" s="244"/>
      <c r="R30" s="244"/>
      <c r="S30" s="244"/>
      <c r="T30" s="244"/>
      <c r="U30" s="86" t="s">
        <v>5</v>
      </c>
      <c r="V30" s="170">
        <f>IF(ISNUMBER('Income Tax Proforma - Old Schem'!V30),'Income Tax Proforma - Old Schem'!V30,0)</f>
        <v>0</v>
      </c>
      <c r="W30" s="177"/>
      <c r="X30" s="177"/>
      <c r="Y30" s="177"/>
      <c r="Z30" s="177"/>
      <c r="AA30" s="177"/>
      <c r="AB30" s="177"/>
      <c r="AC30" s="177"/>
      <c r="AD30" s="177"/>
      <c r="AE30" s="177"/>
      <c r="AF30" s="29"/>
      <c r="AG30" s="92"/>
      <c r="AH30" s="288" t="str">
        <f>IF('Basic Information'!AN12="NPS","NPS Arrear - Employer's Contribution to NPS","")</f>
        <v/>
      </c>
      <c r="AI30" s="289"/>
      <c r="AJ30" s="289"/>
      <c r="AK30" s="289"/>
      <c r="AL30" s="289"/>
      <c r="AM30" s="289"/>
      <c r="AN30" s="289"/>
      <c r="AO30" s="289"/>
      <c r="AP30" s="289"/>
      <c r="AQ30" s="289"/>
      <c r="AR30" s="289"/>
      <c r="AS30" s="289"/>
      <c r="AT30" s="289"/>
      <c r="AU30" s="289"/>
      <c r="AV30" s="289"/>
      <c r="AW30" s="289"/>
      <c r="AX30" s="289"/>
      <c r="AY30" s="289"/>
      <c r="AZ30" s="81" t="str">
        <f>IF('Basic Information'!AN12="NPS",":","")</f>
        <v/>
      </c>
      <c r="BA30" s="170" t="str">
        <f>IF(AND('Basic Information'!AN12="NPS",ISNUMBER('Income Tax Proforma - Old Schem'!BA30)),'Income Tax Proforma - Old Schem'!BA30,"")</f>
        <v/>
      </c>
      <c r="BB30" s="177"/>
      <c r="BC30" s="177"/>
      <c r="BD30" s="177"/>
      <c r="BE30" s="177"/>
      <c r="BF30" s="177"/>
      <c r="BG30" s="177"/>
      <c r="BH30" s="177"/>
      <c r="BI30" s="177"/>
      <c r="BJ30" s="177"/>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341" t="s">
        <v>237</v>
      </c>
      <c r="C32" s="284"/>
      <c r="D32" s="284"/>
      <c r="E32" s="284"/>
      <c r="F32" s="284"/>
      <c r="G32" s="284"/>
      <c r="H32" s="284"/>
      <c r="I32" s="284"/>
      <c r="J32" s="284"/>
      <c r="K32" s="284"/>
      <c r="L32" s="284"/>
      <c r="M32" s="284"/>
      <c r="N32" s="284"/>
      <c r="O32" s="284"/>
      <c r="P32" s="284"/>
      <c r="Q32" s="284"/>
      <c r="R32" s="284"/>
      <c r="S32" s="284"/>
      <c r="T32" s="284"/>
      <c r="U32" s="285"/>
      <c r="V32" s="286"/>
      <c r="W32" s="286"/>
      <c r="X32" s="286"/>
      <c r="Y32" s="286"/>
      <c r="Z32" s="286"/>
      <c r="AA32" s="286"/>
      <c r="AB32" s="286"/>
      <c r="AC32" s="286"/>
      <c r="AD32" s="286"/>
      <c r="AE32" s="286"/>
      <c r="AF32" s="286"/>
      <c r="AG32" s="286"/>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199" t="s">
        <v>83</v>
      </c>
      <c r="D34" s="257"/>
      <c r="E34" s="257"/>
      <c r="F34" s="257"/>
      <c r="G34" s="257"/>
      <c r="H34" s="257"/>
      <c r="I34" s="257"/>
      <c r="J34" s="257"/>
      <c r="K34" s="257"/>
      <c r="L34" s="527"/>
      <c r="M34" s="81" t="s">
        <v>5</v>
      </c>
      <c r="N34" s="149">
        <f>IF(ISNUMBER('Income Tax Proforma - Old Schem'!N34),'Income Tax Proforma - Old Schem'!N34,0)</f>
        <v>0</v>
      </c>
      <c r="O34" s="150"/>
      <c r="P34" s="150"/>
      <c r="Q34" s="150"/>
      <c r="R34" s="150"/>
      <c r="S34" s="150"/>
      <c r="T34" s="150"/>
      <c r="U34" s="151"/>
      <c r="V34" s="17"/>
      <c r="W34" s="141" t="s">
        <v>145</v>
      </c>
      <c r="X34" s="178"/>
      <c r="Y34" s="178"/>
      <c r="Z34" s="178"/>
      <c r="AA34" s="178"/>
      <c r="AB34" s="178"/>
      <c r="AC34" s="178"/>
      <c r="AD34" s="178"/>
      <c r="AE34" s="178"/>
      <c r="AF34" s="179"/>
      <c r="AG34" s="81" t="s">
        <v>5</v>
      </c>
      <c r="AH34" s="149">
        <f>IF(ISNUMBER('Income Tax Proforma - Old Schem'!AH34),'Income Tax Proforma - Old Schem'!AH34,0)</f>
        <v>0</v>
      </c>
      <c r="AI34" s="150"/>
      <c r="AJ34" s="150"/>
      <c r="AK34" s="150"/>
      <c r="AL34" s="150"/>
      <c r="AM34" s="150"/>
      <c r="AN34" s="150"/>
      <c r="AO34" s="151"/>
      <c r="AP34" s="18"/>
      <c r="AQ34" s="141" t="s">
        <v>146</v>
      </c>
      <c r="AR34" s="178"/>
      <c r="AS34" s="178"/>
      <c r="AT34" s="178"/>
      <c r="AU34" s="178"/>
      <c r="AV34" s="178"/>
      <c r="AW34" s="178"/>
      <c r="AX34" s="178"/>
      <c r="AY34" s="178"/>
      <c r="AZ34" s="178"/>
      <c r="BA34" s="238"/>
      <c r="BB34" s="81" t="s">
        <v>5</v>
      </c>
      <c r="BC34" s="149">
        <f>IF(ISNUMBER('Income Tax Proforma - Old Schem'!BC34),'Income Tax Proforma - Old Schem'!BC34,0)</f>
        <v>0</v>
      </c>
      <c r="BD34" s="150"/>
      <c r="BE34" s="150"/>
      <c r="BF34" s="150"/>
      <c r="BG34" s="150"/>
      <c r="BH34" s="150"/>
      <c r="BI34" s="150"/>
      <c r="BJ34" s="151"/>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9.95" customHeight="1" x14ac:dyDescent="0.25">
      <c r="B36" s="229" t="s">
        <v>239</v>
      </c>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1"/>
      <c r="AU36" s="81" t="s">
        <v>5</v>
      </c>
      <c r="AV36" s="149">
        <f>IF('Basic Information'!AN12="NPS",SUM(AF24,V26,BA26,V28,BA28,V30,BA30,N34,AH34,BC34),SUM(AF24,V26,BA26,V28,V30,N34,AH34,BC34))</f>
        <v>0</v>
      </c>
      <c r="AW36" s="150"/>
      <c r="AX36" s="150"/>
      <c r="AY36" s="150"/>
      <c r="AZ36" s="150"/>
      <c r="BA36" s="150"/>
      <c r="BB36" s="150"/>
      <c r="BC36" s="150"/>
      <c r="BD36" s="150"/>
      <c r="BE36" s="150"/>
      <c r="BF36" s="150"/>
      <c r="BG36" s="150"/>
      <c r="BH36" s="150"/>
      <c r="BI36" s="150"/>
      <c r="BJ36" s="151"/>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ht="18" customHeight="1" x14ac:dyDescent="0.25">
      <c r="B38" s="229" t="s">
        <v>170</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9"/>
      <c r="AV38" s="19"/>
      <c r="AW38" s="19"/>
      <c r="AX38" s="19"/>
      <c r="AY38" s="19"/>
      <c r="AZ38" s="19"/>
      <c r="BA38" s="19"/>
      <c r="BB38" s="19"/>
      <c r="BC38" s="19"/>
      <c r="BD38" s="19"/>
      <c r="BE38" s="19"/>
      <c r="BF38" s="19"/>
      <c r="BG38" s="19"/>
      <c r="BH38" s="19"/>
      <c r="BI38" s="19"/>
      <c r="BJ38" s="45"/>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ht="18" customHeight="1" x14ac:dyDescent="0.25">
      <c r="B40" s="56"/>
      <c r="C40" s="169" t="s">
        <v>220</v>
      </c>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81" t="s">
        <v>5</v>
      </c>
      <c r="AV40" s="170">
        <f>IF(AV36&lt;75000,AV36,75000)</f>
        <v>0</v>
      </c>
      <c r="AW40" s="170"/>
      <c r="AX40" s="170"/>
      <c r="AY40" s="170"/>
      <c r="AZ40" s="170"/>
      <c r="BA40" s="170"/>
      <c r="BB40" s="170"/>
      <c r="BC40" s="170"/>
      <c r="BD40" s="170"/>
      <c r="BE40" s="170"/>
      <c r="BF40" s="170"/>
      <c r="BG40" s="170"/>
      <c r="BH40" s="170"/>
      <c r="BI40" s="170"/>
      <c r="BJ40" s="170"/>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ht="18" customHeight="1" x14ac:dyDescent="0.3">
      <c r="B42" s="229" t="s">
        <v>174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8"/>
      <c r="AU42" s="81" t="s">
        <v>5</v>
      </c>
      <c r="AV42" s="149">
        <f>AV36-AV40</f>
        <v>0</v>
      </c>
      <c r="AW42" s="516"/>
      <c r="AX42" s="516"/>
      <c r="AY42" s="516"/>
      <c r="AZ42" s="516"/>
      <c r="BA42" s="516"/>
      <c r="BB42" s="516"/>
      <c r="BC42" s="516"/>
      <c r="BD42" s="516"/>
      <c r="BE42" s="516"/>
      <c r="BF42" s="516"/>
      <c r="BG42" s="516"/>
      <c r="BH42" s="516"/>
      <c r="BI42" s="516"/>
      <c r="BJ42" s="517"/>
      <c r="BQ42" s="87"/>
      <c r="BR42" s="87"/>
      <c r="BS42" s="87"/>
      <c r="BT42" s="87"/>
      <c r="BU42" s="87"/>
      <c r="BV42" s="87"/>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252" t="s">
        <v>224</v>
      </c>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169" t="s">
        <v>119</v>
      </c>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81" t="s">
        <v>5</v>
      </c>
      <c r="AV46" s="170">
        <f>IF(ISNUMBER('Income Tax Proforma - Old Schem'!AV64),'Income Tax Proforma - Old Schem'!AV64,0)</f>
        <v>0</v>
      </c>
      <c r="AW46" s="177"/>
      <c r="AX46" s="177"/>
      <c r="AY46" s="177"/>
      <c r="AZ46" s="177"/>
      <c r="BA46" s="177"/>
      <c r="BB46" s="177"/>
      <c r="BC46" s="177"/>
      <c r="BD46" s="177"/>
      <c r="BE46" s="177"/>
      <c r="BF46" s="177"/>
      <c r="BG46" s="177"/>
      <c r="BH46" s="177"/>
      <c r="BI46" s="177"/>
      <c r="BJ46" s="177"/>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169" t="s">
        <v>177</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81" t="s">
        <v>5</v>
      </c>
      <c r="AV48" s="170">
        <f>IF(ISNUMBER('Income Tax Proforma - Old Schem'!AV66),'Income Tax Proforma - Old Schem'!AV66,0)</f>
        <v>0</v>
      </c>
      <c r="AW48" s="177"/>
      <c r="AX48" s="177"/>
      <c r="AY48" s="177"/>
      <c r="AZ48" s="177"/>
      <c r="BA48" s="177"/>
      <c r="BB48" s="177"/>
      <c r="BC48" s="177"/>
      <c r="BD48" s="177"/>
      <c r="BE48" s="177"/>
      <c r="BF48" s="177"/>
      <c r="BG48" s="177"/>
      <c r="BH48" s="177"/>
      <c r="BI48" s="177"/>
      <c r="BJ48" s="177"/>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169" t="s">
        <v>85</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81" t="s">
        <v>5</v>
      </c>
      <c r="AV50" s="170">
        <f>IF(ISNUMBER('Income Tax Proforma - Old Schem'!AV68),'Income Tax Proforma - Old Schem'!AV68,0)</f>
        <v>0</v>
      </c>
      <c r="AW50" s="177"/>
      <c r="AX50" s="177"/>
      <c r="AY50" s="177"/>
      <c r="AZ50" s="177"/>
      <c r="BA50" s="177"/>
      <c r="BB50" s="177"/>
      <c r="BC50" s="177"/>
      <c r="BD50" s="177"/>
      <c r="BE50" s="177"/>
      <c r="BF50" s="177"/>
      <c r="BG50" s="177"/>
      <c r="BH50" s="177"/>
      <c r="BI50" s="177"/>
      <c r="BJ50" s="177"/>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169" t="s">
        <v>86</v>
      </c>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81" t="s">
        <v>5</v>
      </c>
      <c r="AV52" s="170">
        <f>IF(ISNUMBER('Income Tax Proforma - Old Schem'!AV70),'Income Tax Proforma - Old Schem'!AV70,0)</f>
        <v>0</v>
      </c>
      <c r="AW52" s="177"/>
      <c r="AX52" s="177"/>
      <c r="AY52" s="177"/>
      <c r="AZ52" s="177"/>
      <c r="BA52" s="177"/>
      <c r="BB52" s="177"/>
      <c r="BC52" s="177"/>
      <c r="BD52" s="177"/>
      <c r="BE52" s="177"/>
      <c r="BF52" s="177"/>
      <c r="BG52" s="177"/>
      <c r="BH52" s="177"/>
      <c r="BI52" s="177"/>
      <c r="BJ52" s="177"/>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168" t="s">
        <v>225</v>
      </c>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81" t="s">
        <v>5</v>
      </c>
      <c r="AV54" s="170">
        <f>SUM(AV42,AV46,AV48,AV50,AV52)</f>
        <v>0</v>
      </c>
      <c r="AW54" s="177"/>
      <c r="AX54" s="177"/>
      <c r="AY54" s="177"/>
      <c r="AZ54" s="177"/>
      <c r="BA54" s="177"/>
      <c r="BB54" s="177"/>
      <c r="BC54" s="177"/>
      <c r="BD54" s="177"/>
      <c r="BE54" s="177"/>
      <c r="BF54" s="177"/>
      <c r="BG54" s="177"/>
      <c r="BH54" s="177"/>
      <c r="BI54" s="177"/>
      <c r="BJ54" s="177"/>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20" t="s">
        <v>226</v>
      </c>
      <c r="C56" s="521"/>
      <c r="D56" s="521"/>
      <c r="E56" s="521"/>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521"/>
      <c r="AI56" s="521"/>
      <c r="AJ56" s="206" t="s">
        <v>87</v>
      </c>
      <c r="AK56" s="501"/>
      <c r="AL56" s="501"/>
      <c r="AM56" s="501"/>
      <c r="AN56" s="501"/>
      <c r="AO56" s="501"/>
      <c r="AP56" s="501"/>
      <c r="AQ56" s="501"/>
      <c r="AR56" s="501"/>
      <c r="AS56" s="501"/>
      <c r="AT56" s="501"/>
      <c r="AU56" s="501"/>
      <c r="AV56" s="206" t="s">
        <v>88</v>
      </c>
      <c r="AW56" s="501"/>
      <c r="AX56" s="501"/>
      <c r="AY56" s="501"/>
      <c r="AZ56" s="501"/>
      <c r="BA56" s="501"/>
      <c r="BB56" s="501"/>
      <c r="BC56" s="501"/>
      <c r="BD56" s="501"/>
      <c r="BE56" s="501"/>
      <c r="BF56" s="501"/>
      <c r="BG56" s="501"/>
      <c r="BH56" s="501"/>
      <c r="BI56" s="501"/>
      <c r="BJ56" s="501"/>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52" t="str">
        <f>IF(AND(AV58&lt;&gt;0,AJ58&gt;AV58),"The maximum allowed limit for deduction u/s 124(1) is ten per cent of the salary (Basic Pay+DA) received in the previous year. ","")</f>
        <v/>
      </c>
      <c r="BM57" s="152"/>
      <c r="BN57" s="152"/>
      <c r="BO57" s="152"/>
      <c r="BP57" s="152"/>
      <c r="BQ57" s="152"/>
      <c r="BR57" s="152"/>
      <c r="BS57" s="152"/>
      <c r="BT57" s="152"/>
      <c r="BU57" s="152"/>
      <c r="BV57" s="152"/>
    </row>
    <row r="58" spans="2:75" ht="27.6" customHeight="1" x14ac:dyDescent="0.3">
      <c r="B58" s="20"/>
      <c r="C58" s="202" t="s">
        <v>227</v>
      </c>
      <c r="D58" s="522"/>
      <c r="E58" s="522"/>
      <c r="F58" s="522"/>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3"/>
      <c r="AI58" s="81" t="s">
        <v>5</v>
      </c>
      <c r="AJ58" s="205">
        <f>IF('Basic Information'!AN12="NPS",IF(ISNUMBER(BA30),SUM(BA28,BA30),BA28),0)</f>
        <v>0</v>
      </c>
      <c r="AK58" s="524"/>
      <c r="AL58" s="524"/>
      <c r="AM58" s="524"/>
      <c r="AN58" s="524"/>
      <c r="AO58" s="524"/>
      <c r="AP58" s="524"/>
      <c r="AQ58" s="524"/>
      <c r="AR58" s="524"/>
      <c r="AS58" s="524"/>
      <c r="AT58" s="501"/>
      <c r="AU58" s="501"/>
      <c r="AV58" s="170">
        <f>IF(AND(SUM(K24,R24)&lt;&gt;0,AJ58&lt;&gt;0),BA28,0)</f>
        <v>0</v>
      </c>
      <c r="AW58" s="177"/>
      <c r="AX58" s="177"/>
      <c r="AY58" s="177"/>
      <c r="AZ58" s="177"/>
      <c r="BA58" s="177"/>
      <c r="BB58" s="177"/>
      <c r="BC58" s="177"/>
      <c r="BD58" s="177"/>
      <c r="BE58" s="177"/>
      <c r="BF58" s="177"/>
      <c r="BG58" s="177"/>
      <c r="BH58" s="177"/>
      <c r="BI58" s="177"/>
      <c r="BJ58" s="177"/>
      <c r="BL58" s="152"/>
      <c r="BM58" s="152"/>
      <c r="BN58" s="152"/>
      <c r="BO58" s="152"/>
      <c r="BP58" s="152"/>
      <c r="BQ58" s="152"/>
      <c r="BR58" s="152"/>
      <c r="BS58" s="152"/>
      <c r="BT58" s="152"/>
      <c r="BU58" s="152"/>
      <c r="BV58" s="152"/>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52"/>
      <c r="BM59" s="152"/>
      <c r="BN59" s="152"/>
      <c r="BO59" s="152"/>
      <c r="BP59" s="152"/>
      <c r="BQ59" s="152"/>
      <c r="BR59" s="152"/>
      <c r="BS59" s="152"/>
      <c r="BT59" s="152"/>
      <c r="BU59" s="152"/>
      <c r="BV59" s="152"/>
    </row>
    <row r="60" spans="2:75" ht="18" customHeight="1" x14ac:dyDescent="0.3">
      <c r="B60" s="22"/>
      <c r="C60" s="305" t="s">
        <v>92</v>
      </c>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6"/>
      <c r="AI60" s="81" t="s">
        <v>5</v>
      </c>
      <c r="AJ60" s="180">
        <f>SUM(AJ58)</f>
        <v>0</v>
      </c>
      <c r="AK60" s="513"/>
      <c r="AL60" s="513"/>
      <c r="AM60" s="513"/>
      <c r="AN60" s="513"/>
      <c r="AO60" s="513"/>
      <c r="AP60" s="513"/>
      <c r="AQ60" s="513"/>
      <c r="AR60" s="513"/>
      <c r="AS60" s="514"/>
      <c r="AT60" s="501"/>
      <c r="AU60" s="501"/>
      <c r="AV60" s="149">
        <f>SUM(AV58)</f>
        <v>0</v>
      </c>
      <c r="AW60" s="516"/>
      <c r="AX60" s="516"/>
      <c r="AY60" s="516"/>
      <c r="AZ60" s="516"/>
      <c r="BA60" s="516"/>
      <c r="BB60" s="516"/>
      <c r="BC60" s="516"/>
      <c r="BD60" s="516"/>
      <c r="BE60" s="516"/>
      <c r="BF60" s="516"/>
      <c r="BG60" s="516"/>
      <c r="BH60" s="516"/>
      <c r="BI60" s="516"/>
      <c r="BJ60" s="517"/>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29" t="s">
        <v>161</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8"/>
      <c r="AU62" s="81" t="s">
        <v>5</v>
      </c>
      <c r="AV62" s="149">
        <f>IF(AV54&gt;AV60,MROUND(ABS(AV54-AV60), 10),0)</f>
        <v>0</v>
      </c>
      <c r="AW62" s="516"/>
      <c r="AX62" s="516"/>
      <c r="AY62" s="516"/>
      <c r="AZ62" s="516"/>
      <c r="BA62" s="516"/>
      <c r="BB62" s="516"/>
      <c r="BC62" s="516"/>
      <c r="BD62" s="516"/>
      <c r="BE62" s="516"/>
      <c r="BF62" s="516"/>
      <c r="BG62" s="516"/>
      <c r="BH62" s="516"/>
      <c r="BI62" s="516"/>
      <c r="BJ62" s="517"/>
      <c r="BP62" s="153"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53"/>
      <c r="BR62" s="153"/>
      <c r="BS62" s="153"/>
      <c r="BT62" s="153"/>
      <c r="BU62" s="153"/>
      <c r="BV62" s="153"/>
      <c r="BW62" s="153"/>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53"/>
      <c r="BQ63" s="153"/>
      <c r="BR63" s="153"/>
      <c r="BS63" s="153"/>
      <c r="BT63" s="153"/>
      <c r="BU63" s="153"/>
      <c r="BV63" s="153"/>
      <c r="BW63" s="153"/>
    </row>
    <row r="64" spans="2:75" x14ac:dyDescent="0.3">
      <c r="B64" s="229" t="s">
        <v>160</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8"/>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169" t="s">
        <v>228</v>
      </c>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81" t="s">
        <v>5</v>
      </c>
      <c r="AV66" s="170">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177"/>
      <c r="AX66" s="177"/>
      <c r="AY66" s="177"/>
      <c r="AZ66" s="177"/>
      <c r="BA66" s="177"/>
      <c r="BB66" s="177"/>
      <c r="BC66" s="177"/>
      <c r="BD66" s="177"/>
      <c r="BE66" s="177"/>
      <c r="BF66" s="177"/>
      <c r="BG66" s="177"/>
      <c r="BH66" s="177"/>
      <c r="BI66" s="177"/>
      <c r="BJ66" s="177"/>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53" t="str">
        <f>IF(AND(AV62&gt;1200000,(AV62-1200000)&lt;=AV66),"You are availing of the benefit of marginal relief u/s 156(2) for the new tax regime u/s 202 (1).","")</f>
        <v/>
      </c>
      <c r="BQ67" s="153"/>
      <c r="BR67" s="153"/>
      <c r="BS67" s="153"/>
      <c r="BT67" s="153"/>
      <c r="BU67" s="153"/>
      <c r="BV67" s="153"/>
    </row>
    <row r="68" spans="2:74" ht="18" customHeight="1" x14ac:dyDescent="0.3">
      <c r="B68" s="20"/>
      <c r="C68" s="169" t="s">
        <v>229</v>
      </c>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81" t="s">
        <v>5</v>
      </c>
      <c r="AV68" s="170">
        <f>IF(AND(AV62&lt;=1200000, AV62&lt;&gt;0),IF(AV66&lt;=60000,AV66,60000),IF(AND(AV62&lt;&gt;0,(AV62-1200000)&lt;=AV66),AV66-(AV62-1200000),0))</f>
        <v>0</v>
      </c>
      <c r="AW68" s="177"/>
      <c r="AX68" s="177"/>
      <c r="AY68" s="177"/>
      <c r="AZ68" s="177"/>
      <c r="BA68" s="177"/>
      <c r="BB68" s="177"/>
      <c r="BC68" s="177"/>
      <c r="BD68" s="177"/>
      <c r="BE68" s="177"/>
      <c r="BF68" s="177"/>
      <c r="BG68" s="177"/>
      <c r="BH68" s="177"/>
      <c r="BI68" s="177"/>
      <c r="BJ68" s="177"/>
      <c r="BP68" s="153"/>
      <c r="BQ68" s="153"/>
      <c r="BR68" s="153"/>
      <c r="BS68" s="153"/>
      <c r="BT68" s="153"/>
      <c r="BU68" s="153"/>
      <c r="BV68" s="153"/>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53"/>
      <c r="BQ69" s="153"/>
      <c r="BR69" s="153"/>
      <c r="BS69" s="153"/>
      <c r="BT69" s="153"/>
      <c r="BU69" s="153"/>
      <c r="BV69" s="153"/>
    </row>
    <row r="70" spans="2:74" ht="18" customHeight="1" x14ac:dyDescent="0.3">
      <c r="B70" s="20"/>
      <c r="C70" s="169" t="s">
        <v>136</v>
      </c>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81" t="s">
        <v>5</v>
      </c>
      <c r="AV70" s="170">
        <f>IF((AV66&lt;AV68),0,ROUND(ABS(AV66-AV68),0))</f>
        <v>0</v>
      </c>
      <c r="AW70" s="177"/>
      <c r="AX70" s="177"/>
      <c r="AY70" s="177"/>
      <c r="AZ70" s="177"/>
      <c r="BA70" s="177"/>
      <c r="BB70" s="177"/>
      <c r="BC70" s="177"/>
      <c r="BD70" s="177"/>
      <c r="BE70" s="177"/>
      <c r="BF70" s="177"/>
      <c r="BG70" s="177"/>
      <c r="BH70" s="177"/>
      <c r="BI70" s="177"/>
      <c r="BJ70" s="177"/>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169" t="s">
        <v>111</v>
      </c>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81" t="s">
        <v>5</v>
      </c>
      <c r="AV72" s="170">
        <f>IF(AV70&lt;&gt;0,ROUND(AV70*0.04,0),0)</f>
        <v>0</v>
      </c>
      <c r="AW72" s="177"/>
      <c r="AX72" s="177"/>
      <c r="AY72" s="177"/>
      <c r="AZ72" s="177"/>
      <c r="BA72" s="177"/>
      <c r="BB72" s="177"/>
      <c r="BC72" s="177"/>
      <c r="BD72" s="177"/>
      <c r="BE72" s="177"/>
      <c r="BF72" s="177"/>
      <c r="BG72" s="177"/>
      <c r="BH72" s="177"/>
      <c r="BI72" s="177"/>
      <c r="BJ72" s="177"/>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169" t="s">
        <v>213</v>
      </c>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81" t="s">
        <v>5</v>
      </c>
      <c r="AV74" s="170">
        <f>AV70+AV72</f>
        <v>0</v>
      </c>
      <c r="AW74" s="177"/>
      <c r="AX74" s="177"/>
      <c r="AY74" s="177"/>
      <c r="AZ74" s="177"/>
      <c r="BA74" s="177"/>
      <c r="BB74" s="177"/>
      <c r="BC74" s="177"/>
      <c r="BD74" s="177"/>
      <c r="BE74" s="177"/>
      <c r="BF74" s="177"/>
      <c r="BG74" s="177"/>
      <c r="BH74" s="177"/>
      <c r="BI74" s="177"/>
      <c r="BJ74" s="177"/>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169" t="s">
        <v>209</v>
      </c>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81" t="s">
        <v>5</v>
      </c>
      <c r="AV76" s="170">
        <f>IF(ISNUMBER('Form 10E - New Scheme'!AF79),'Form 10E - New Scheme'!AF79,0)</f>
        <v>0</v>
      </c>
      <c r="AW76" s="177"/>
      <c r="AX76" s="177"/>
      <c r="AY76" s="177"/>
      <c r="AZ76" s="177"/>
      <c r="BA76" s="177"/>
      <c r="BB76" s="177"/>
      <c r="BC76" s="177"/>
      <c r="BD76" s="177"/>
      <c r="BE76" s="177"/>
      <c r="BF76" s="177"/>
      <c r="BG76" s="177"/>
      <c r="BH76" s="177"/>
      <c r="BI76" s="177"/>
      <c r="BJ76" s="177"/>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9" t="s">
        <v>128</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99" t="str">
        <f>IF(AV76&gt;AV74, "9. Refund (f - e) u/s 431 ",   "9. Balance Tax After Relief / Amount payable  (e - f)  ")</f>
        <v xml:space="preserve">9. Balance Tax After Relief / Amount payable  (e - f)  </v>
      </c>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81" t="s">
        <v>5</v>
      </c>
      <c r="AV78" s="170" t="str">
        <f>IF(AV74&lt;&gt;AV76,MROUND(ABS(AV74-AV76),10),"NIL")</f>
        <v>NIL</v>
      </c>
      <c r="AW78" s="177"/>
      <c r="AX78" s="177"/>
      <c r="AY78" s="177"/>
      <c r="AZ78" s="177"/>
      <c r="BA78" s="177"/>
      <c r="BB78" s="177"/>
      <c r="BC78" s="177"/>
      <c r="BD78" s="177"/>
      <c r="BE78" s="177"/>
      <c r="BF78" s="177"/>
      <c r="BG78" s="177"/>
      <c r="BH78" s="177"/>
      <c r="BI78" s="177"/>
      <c r="BJ78" s="177"/>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252" t="s">
        <v>230</v>
      </c>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6"/>
      <c r="AE80" s="286"/>
      <c r="AF80" s="286"/>
      <c r="AG80" s="286"/>
      <c r="AH80" s="286"/>
      <c r="AI80" s="286"/>
      <c r="AJ80" s="286"/>
      <c r="AK80" s="286"/>
      <c r="AL80" s="286"/>
      <c r="AM80" s="286"/>
      <c r="AN80" s="286"/>
      <c r="AO80" s="286"/>
      <c r="AP80" s="286"/>
      <c r="AQ80" s="286"/>
      <c r="AR80" s="286"/>
      <c r="AS80" s="286"/>
      <c r="AT80" s="286"/>
      <c r="AU80" s="286"/>
      <c r="AV80" s="286"/>
      <c r="AW80" s="286"/>
      <c r="AX80" s="286"/>
      <c r="AY80" s="286"/>
      <c r="AZ80" s="286"/>
      <c r="BA80" s="286"/>
      <c r="BB80" s="286"/>
      <c r="BC80" s="286"/>
      <c r="BD80" s="286"/>
      <c r="BE80" s="286"/>
      <c r="BF80" s="286"/>
      <c r="BG80" s="286"/>
      <c r="BH80" s="286"/>
      <c r="BI80" s="286"/>
      <c r="BJ80" s="287"/>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206" t="s">
        <v>0</v>
      </c>
      <c r="D82" s="519"/>
      <c r="E82" s="519"/>
      <c r="F82" s="519"/>
      <c r="G82" s="519"/>
      <c r="H82" s="519"/>
      <c r="I82" s="519"/>
      <c r="J82" s="519"/>
      <c r="K82" s="519"/>
      <c r="L82" s="519"/>
      <c r="M82" s="519"/>
      <c r="N82" s="519"/>
      <c r="O82" s="206" t="s">
        <v>98</v>
      </c>
      <c r="P82" s="519"/>
      <c r="Q82" s="519"/>
      <c r="R82" s="519"/>
      <c r="S82" s="519"/>
      <c r="T82" s="519"/>
      <c r="U82" s="519"/>
      <c r="V82" s="519"/>
      <c r="W82" s="206" t="s">
        <v>0</v>
      </c>
      <c r="X82" s="519"/>
      <c r="Y82" s="519"/>
      <c r="Z82" s="519"/>
      <c r="AA82" s="519"/>
      <c r="AB82" s="519"/>
      <c r="AC82" s="519"/>
      <c r="AD82" s="519"/>
      <c r="AE82" s="519"/>
      <c r="AF82" s="519"/>
      <c r="AG82" s="519"/>
      <c r="AH82" s="519"/>
      <c r="AI82" s="206" t="s">
        <v>98</v>
      </c>
      <c r="AJ82" s="519"/>
      <c r="AK82" s="519"/>
      <c r="AL82" s="519"/>
      <c r="AM82" s="519"/>
      <c r="AN82" s="519"/>
      <c r="AO82" s="519"/>
      <c r="AP82" s="519"/>
      <c r="AQ82" s="206" t="s">
        <v>0</v>
      </c>
      <c r="AR82" s="519"/>
      <c r="AS82" s="519"/>
      <c r="AT82" s="519"/>
      <c r="AU82" s="519"/>
      <c r="AV82" s="519"/>
      <c r="AW82" s="519"/>
      <c r="AX82" s="519"/>
      <c r="AY82" s="519"/>
      <c r="AZ82" s="519"/>
      <c r="BA82" s="519"/>
      <c r="BB82" s="519"/>
      <c r="BC82" s="206" t="s">
        <v>98</v>
      </c>
      <c r="BD82" s="519"/>
      <c r="BE82" s="519"/>
      <c r="BF82" s="519"/>
      <c r="BG82" s="519"/>
      <c r="BH82" s="519"/>
      <c r="BI82" s="519"/>
      <c r="BJ82" s="519"/>
      <c r="BP82" s="6">
        <f>SUM(O83,O84,O85,O86,O87,AI83,AI84,AI85,BC85,BC86)</f>
        <v>0</v>
      </c>
      <c r="BQ82" s="6">
        <f>IF(AND(SIGN(AV76-AV74)&lt;&gt;1,ISNUMBER(AV78)),IF(SIGN(BP82-AV78)&lt;&gt;1,ABS(BP82-AV78),0),0)</f>
        <v>0</v>
      </c>
      <c r="BR82" s="6">
        <f>IF(ISNUMBER(BQ82),MROUND(BQ82/4,100),0)</f>
        <v>0</v>
      </c>
    </row>
    <row r="83" spans="2:70" ht="16.5" customHeight="1" x14ac:dyDescent="0.3">
      <c r="B83" s="20"/>
      <c r="C83" s="160" t="s">
        <v>28</v>
      </c>
      <c r="D83" s="237"/>
      <c r="E83" s="237"/>
      <c r="F83" s="237"/>
      <c r="G83" s="237"/>
      <c r="H83" s="237"/>
      <c r="I83" s="237"/>
      <c r="J83" s="237"/>
      <c r="K83" s="188">
        <v>2025</v>
      </c>
      <c r="L83" s="237"/>
      <c r="M83" s="237"/>
      <c r="N83" s="238"/>
      <c r="O83" s="180">
        <f>IF(ISNUMBER('Income Tax Proforma - Old Schem'!O182),'Income Tax Proforma - Old Schem'!O182,0)</f>
        <v>0</v>
      </c>
      <c r="P83" s="181"/>
      <c r="Q83" s="181"/>
      <c r="R83" s="181"/>
      <c r="S83" s="181"/>
      <c r="T83" s="181"/>
      <c r="U83" s="181"/>
      <c r="V83" s="182"/>
      <c r="W83" s="160" t="s">
        <v>33</v>
      </c>
      <c r="X83" s="237"/>
      <c r="Y83" s="237"/>
      <c r="Z83" s="237"/>
      <c r="AA83" s="237"/>
      <c r="AB83" s="237"/>
      <c r="AC83" s="237"/>
      <c r="AD83" s="237"/>
      <c r="AE83" s="188">
        <v>2025</v>
      </c>
      <c r="AF83" s="237"/>
      <c r="AG83" s="237"/>
      <c r="AH83" s="238"/>
      <c r="AI83" s="180">
        <f>IF(ISNUMBER('Income Tax Proforma - Old Schem'!AI182),'Income Tax Proforma - Old Schem'!AI182,0)</f>
        <v>0</v>
      </c>
      <c r="AJ83" s="181"/>
      <c r="AK83" s="181"/>
      <c r="AL83" s="181"/>
      <c r="AM83" s="181"/>
      <c r="AN83" s="181"/>
      <c r="AO83" s="181"/>
      <c r="AP83" s="182"/>
      <c r="AQ83" s="169" t="s">
        <v>26</v>
      </c>
      <c r="AR83" s="244"/>
      <c r="AS83" s="244"/>
      <c r="AT83" s="244"/>
      <c r="AU83" s="244"/>
      <c r="AV83" s="244"/>
      <c r="AW83" s="244"/>
      <c r="AX83" s="490"/>
      <c r="AY83" s="188">
        <v>2026</v>
      </c>
      <c r="AZ83" s="237"/>
      <c r="BA83" s="237"/>
      <c r="BB83" s="238"/>
      <c r="BC83" s="180">
        <f>BR82</f>
        <v>0</v>
      </c>
      <c r="BD83" s="181"/>
      <c r="BE83" s="181"/>
      <c r="BF83" s="181"/>
      <c r="BG83" s="181"/>
      <c r="BH83" s="181"/>
      <c r="BI83" s="181"/>
      <c r="BJ83" s="182"/>
    </row>
    <row r="84" spans="2:70" ht="16.5" customHeight="1" x14ac:dyDescent="0.3">
      <c r="B84" s="20"/>
      <c r="C84" s="160" t="s">
        <v>29</v>
      </c>
      <c r="D84" s="237"/>
      <c r="E84" s="237"/>
      <c r="F84" s="237"/>
      <c r="G84" s="237"/>
      <c r="H84" s="237"/>
      <c r="I84" s="237"/>
      <c r="J84" s="237"/>
      <c r="K84" s="188">
        <v>2025</v>
      </c>
      <c r="L84" s="237"/>
      <c r="M84" s="237"/>
      <c r="N84" s="238"/>
      <c r="O84" s="180">
        <f>IF(ISNUMBER('Income Tax Proforma - Old Schem'!O183),'Income Tax Proforma - Old Schem'!O183,0)</f>
        <v>0</v>
      </c>
      <c r="P84" s="181"/>
      <c r="Q84" s="181"/>
      <c r="R84" s="181"/>
      <c r="S84" s="181"/>
      <c r="T84" s="181"/>
      <c r="U84" s="181"/>
      <c r="V84" s="182"/>
      <c r="W84" s="160" t="s">
        <v>24</v>
      </c>
      <c r="X84" s="237"/>
      <c r="Y84" s="237"/>
      <c r="Z84" s="237"/>
      <c r="AA84" s="237"/>
      <c r="AB84" s="237"/>
      <c r="AC84" s="237"/>
      <c r="AD84" s="237"/>
      <c r="AE84" s="188">
        <v>2025</v>
      </c>
      <c r="AF84" s="237"/>
      <c r="AG84" s="237"/>
      <c r="AH84" s="238"/>
      <c r="AI84" s="180">
        <f>IF(ISNUMBER('Income Tax Proforma - Old Schem'!AI183),'Income Tax Proforma - Old Schem'!AI183,0)</f>
        <v>0</v>
      </c>
      <c r="AJ84" s="181"/>
      <c r="AK84" s="181"/>
      <c r="AL84" s="181"/>
      <c r="AM84" s="181"/>
      <c r="AN84" s="181"/>
      <c r="AO84" s="181"/>
      <c r="AP84" s="182"/>
      <c r="AQ84" s="169" t="s">
        <v>25</v>
      </c>
      <c r="AR84" s="244"/>
      <c r="AS84" s="244"/>
      <c r="AT84" s="244"/>
      <c r="AU84" s="244"/>
      <c r="AV84" s="244"/>
      <c r="AW84" s="244"/>
      <c r="AX84" s="490"/>
      <c r="AY84" s="188">
        <v>2026</v>
      </c>
      <c r="AZ84" s="237"/>
      <c r="BA84" s="237"/>
      <c r="BB84" s="238"/>
      <c r="BC84" s="181">
        <f>IF(AND(ISNUMBER(AV78),ISNUMBER(BQ82)),IF(AND(SIGN(AV76-AV74)=-1,SIGN(BP82-AV78)&lt;&gt;1),ROUND(ABS(AV78-SUM(O83:V87,AI83:AP87,BC83,BC85:BJ86)),0),0),0)</f>
        <v>0</v>
      </c>
      <c r="BD84" s="513"/>
      <c r="BE84" s="513"/>
      <c r="BF84" s="513"/>
      <c r="BG84" s="513"/>
      <c r="BH84" s="513"/>
      <c r="BI84" s="513"/>
      <c r="BJ84" s="514"/>
      <c r="BQ84" s="13"/>
    </row>
    <row r="85" spans="2:70" ht="16.5" customHeight="1" x14ac:dyDescent="0.3">
      <c r="B85" s="20"/>
      <c r="C85" s="160" t="s">
        <v>30</v>
      </c>
      <c r="D85" s="237"/>
      <c r="E85" s="237"/>
      <c r="F85" s="237"/>
      <c r="G85" s="237"/>
      <c r="H85" s="237"/>
      <c r="I85" s="237"/>
      <c r="J85" s="237"/>
      <c r="K85" s="188">
        <v>2025</v>
      </c>
      <c r="L85" s="237"/>
      <c r="M85" s="237"/>
      <c r="N85" s="238"/>
      <c r="O85" s="180">
        <f>IF(ISNUMBER('Income Tax Proforma - Old Schem'!O184),'Income Tax Proforma - Old Schem'!O184,0)</f>
        <v>0</v>
      </c>
      <c r="P85" s="181"/>
      <c r="Q85" s="181"/>
      <c r="R85" s="181"/>
      <c r="S85" s="181"/>
      <c r="T85" s="181"/>
      <c r="U85" s="181"/>
      <c r="V85" s="182"/>
      <c r="W85" s="160" t="s">
        <v>34</v>
      </c>
      <c r="X85" s="237"/>
      <c r="Y85" s="237"/>
      <c r="Z85" s="237"/>
      <c r="AA85" s="237"/>
      <c r="AB85" s="237"/>
      <c r="AC85" s="237"/>
      <c r="AD85" s="237"/>
      <c r="AE85" s="188">
        <v>2025</v>
      </c>
      <c r="AF85" s="237"/>
      <c r="AG85" s="237"/>
      <c r="AH85" s="238"/>
      <c r="AI85" s="180">
        <f>IF(ISNUMBER('Income Tax Proforma - Old Schem'!AI184),'Income Tax Proforma - Old Schem'!AI184,0)</f>
        <v>0</v>
      </c>
      <c r="AJ85" s="181"/>
      <c r="AK85" s="181"/>
      <c r="AL85" s="181"/>
      <c r="AM85" s="181"/>
      <c r="AN85" s="181"/>
      <c r="AO85" s="181"/>
      <c r="AP85" s="182"/>
      <c r="AQ85" s="518" t="str">
        <f>IF(ISTEXT('Income Tax Proforma - Old Schem'!AQ184),'Income Tax Proforma - Old Schem'!AQ184,"")</f>
        <v/>
      </c>
      <c r="AR85" s="259"/>
      <c r="AS85" s="259"/>
      <c r="AT85" s="259"/>
      <c r="AU85" s="259"/>
      <c r="AV85" s="259"/>
      <c r="AW85" s="259"/>
      <c r="AX85" s="259"/>
      <c r="AY85" s="259"/>
      <c r="AZ85" s="259"/>
      <c r="BA85" s="259"/>
      <c r="BB85" s="260"/>
      <c r="BC85" s="180">
        <f>IF(ISNUMBER('Income Tax Proforma - Old Schem'!BC184),'Income Tax Proforma - Old Schem'!BC184,0)</f>
        <v>0</v>
      </c>
      <c r="BD85" s="181"/>
      <c r="BE85" s="181"/>
      <c r="BF85" s="181"/>
      <c r="BG85" s="181"/>
      <c r="BH85" s="181"/>
      <c r="BI85" s="181"/>
      <c r="BJ85" s="182"/>
    </row>
    <row r="86" spans="2:70" ht="16.5" customHeight="1" x14ac:dyDescent="0.3">
      <c r="B86" s="20"/>
      <c r="C86" s="160" t="s">
        <v>31</v>
      </c>
      <c r="D86" s="237"/>
      <c r="E86" s="237"/>
      <c r="F86" s="237"/>
      <c r="G86" s="237"/>
      <c r="H86" s="237"/>
      <c r="I86" s="237"/>
      <c r="J86" s="237"/>
      <c r="K86" s="188">
        <v>2025</v>
      </c>
      <c r="L86" s="237"/>
      <c r="M86" s="237"/>
      <c r="N86" s="238"/>
      <c r="O86" s="180">
        <f>IF(ISNUMBER('Income Tax Proforma - Old Schem'!O185),'Income Tax Proforma - Old Schem'!O185,0)</f>
        <v>0</v>
      </c>
      <c r="P86" s="181"/>
      <c r="Q86" s="181"/>
      <c r="R86" s="181"/>
      <c r="S86" s="181"/>
      <c r="T86" s="181"/>
      <c r="U86" s="181"/>
      <c r="V86" s="182"/>
      <c r="W86" s="160" t="s">
        <v>35</v>
      </c>
      <c r="X86" s="237"/>
      <c r="Y86" s="237"/>
      <c r="Z86" s="237"/>
      <c r="AA86" s="237"/>
      <c r="AB86" s="237"/>
      <c r="AC86" s="237"/>
      <c r="AD86" s="237"/>
      <c r="AE86" s="188">
        <v>2025</v>
      </c>
      <c r="AF86" s="237"/>
      <c r="AG86" s="237"/>
      <c r="AH86" s="238"/>
      <c r="AI86" s="180">
        <f>BR82</f>
        <v>0</v>
      </c>
      <c r="AJ86" s="181"/>
      <c r="AK86" s="181"/>
      <c r="AL86" s="181"/>
      <c r="AM86" s="181"/>
      <c r="AN86" s="181"/>
      <c r="AO86" s="181"/>
      <c r="AP86" s="182"/>
      <c r="AQ86" s="518" t="str">
        <f>IF(ISTEXT('Income Tax Proforma - Old Schem'!AQ185),'Income Tax Proforma - Old Schem'!AQ185,"")</f>
        <v/>
      </c>
      <c r="AR86" s="259"/>
      <c r="AS86" s="259"/>
      <c r="AT86" s="259"/>
      <c r="AU86" s="259"/>
      <c r="AV86" s="259"/>
      <c r="AW86" s="259"/>
      <c r="AX86" s="259"/>
      <c r="AY86" s="259"/>
      <c r="AZ86" s="259"/>
      <c r="BA86" s="259"/>
      <c r="BB86" s="260"/>
      <c r="BC86" s="180">
        <f>IF(ISNUMBER('Income Tax Proforma - Old Schem'!BC185),'Income Tax Proforma - Old Schem'!BC185,0)</f>
        <v>0</v>
      </c>
      <c r="BD86" s="181"/>
      <c r="BE86" s="181"/>
      <c r="BF86" s="181"/>
      <c r="BG86" s="181"/>
      <c r="BH86" s="181"/>
      <c r="BI86" s="181"/>
      <c r="BJ86" s="182"/>
    </row>
    <row r="87" spans="2:70" ht="16.5" customHeight="1" x14ac:dyDescent="0.3">
      <c r="B87" s="20"/>
      <c r="C87" s="160" t="s">
        <v>32</v>
      </c>
      <c r="D87" s="237"/>
      <c r="E87" s="237"/>
      <c r="F87" s="237"/>
      <c r="G87" s="237"/>
      <c r="H87" s="237"/>
      <c r="I87" s="237"/>
      <c r="J87" s="237"/>
      <c r="K87" s="188">
        <v>2025</v>
      </c>
      <c r="L87" s="237"/>
      <c r="M87" s="237"/>
      <c r="N87" s="238"/>
      <c r="O87" s="180">
        <f>IF(ISNUMBER('Income Tax Proforma - Old Schem'!O186),'Income Tax Proforma - Old Schem'!O186,0)</f>
        <v>0</v>
      </c>
      <c r="P87" s="181"/>
      <c r="Q87" s="181"/>
      <c r="R87" s="181"/>
      <c r="S87" s="181"/>
      <c r="T87" s="181"/>
      <c r="U87" s="181"/>
      <c r="V87" s="182"/>
      <c r="W87" s="160" t="s">
        <v>27</v>
      </c>
      <c r="X87" s="237"/>
      <c r="Y87" s="237"/>
      <c r="Z87" s="237"/>
      <c r="AA87" s="237"/>
      <c r="AB87" s="237"/>
      <c r="AC87" s="237"/>
      <c r="AD87" s="237"/>
      <c r="AE87" s="188">
        <v>2025</v>
      </c>
      <c r="AF87" s="237"/>
      <c r="AG87" s="237"/>
      <c r="AH87" s="238"/>
      <c r="AI87" s="180">
        <f>BR82</f>
        <v>0</v>
      </c>
      <c r="AJ87" s="181"/>
      <c r="AK87" s="181"/>
      <c r="AL87" s="181"/>
      <c r="AM87" s="181"/>
      <c r="AN87" s="181"/>
      <c r="AO87" s="181"/>
      <c r="AP87" s="182"/>
      <c r="AQ87" s="270" t="s">
        <v>4</v>
      </c>
      <c r="AR87" s="271"/>
      <c r="AS87" s="271"/>
      <c r="AT87" s="271"/>
      <c r="AU87" s="271"/>
      <c r="AV87" s="271"/>
      <c r="AW87" s="271"/>
      <c r="AX87" s="271"/>
      <c r="AY87" s="273"/>
      <c r="AZ87" s="273"/>
      <c r="BA87" s="273"/>
      <c r="BB87" s="274"/>
      <c r="BC87" s="181">
        <f>SUM(O83:V87,AI83:AP87,BC83:BJ86)</f>
        <v>0</v>
      </c>
      <c r="BD87" s="513"/>
      <c r="BE87" s="513"/>
      <c r="BF87" s="513"/>
      <c r="BG87" s="513"/>
      <c r="BH87" s="513"/>
      <c r="BI87" s="513"/>
      <c r="BJ87" s="514"/>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29"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15"/>
      <c r="D89" s="515"/>
      <c r="E89" s="515"/>
      <c r="F89" s="515"/>
      <c r="G89" s="515"/>
      <c r="H89" s="515"/>
      <c r="I89" s="515"/>
      <c r="J89" s="515"/>
      <c r="K89" s="515"/>
      <c r="L89" s="515"/>
      <c r="M89" s="515"/>
      <c r="N89" s="515"/>
      <c r="O89" s="515"/>
      <c r="P89" s="515"/>
      <c r="Q89" s="515"/>
      <c r="R89" s="515"/>
      <c r="S89" s="515"/>
      <c r="T89" s="515"/>
      <c r="U89" s="515"/>
      <c r="V89" s="515"/>
      <c r="W89" s="515"/>
      <c r="X89" s="515"/>
      <c r="Y89" s="515"/>
      <c r="Z89" s="515"/>
      <c r="AA89" s="515"/>
      <c r="AB89" s="515"/>
      <c r="AC89" s="515"/>
      <c r="AD89" s="515"/>
      <c r="AE89" s="515"/>
      <c r="AF89" s="515"/>
      <c r="AG89" s="515"/>
      <c r="AH89" s="515"/>
      <c r="AI89" s="515"/>
      <c r="AJ89" s="515"/>
      <c r="AK89" s="515"/>
      <c r="AL89" s="515"/>
      <c r="AM89" s="515"/>
      <c r="AN89" s="515"/>
      <c r="AO89" s="515"/>
      <c r="AP89" s="515"/>
      <c r="AQ89" s="515"/>
      <c r="AR89" s="515"/>
      <c r="AS89" s="515"/>
      <c r="AT89" s="515"/>
      <c r="AU89" s="25"/>
      <c r="AV89" s="149"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16"/>
      <c r="AX89" s="516"/>
      <c r="AY89" s="516"/>
      <c r="AZ89" s="516"/>
      <c r="BA89" s="516"/>
      <c r="BB89" s="516"/>
      <c r="BC89" s="516"/>
      <c r="BD89" s="516"/>
      <c r="BE89" s="516"/>
      <c r="BF89" s="516"/>
      <c r="BG89" s="516"/>
      <c r="BH89" s="516"/>
      <c r="BI89" s="516"/>
      <c r="BJ89" s="517"/>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270" t="s">
        <v>99</v>
      </c>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2"/>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321" t="s">
        <v>53</v>
      </c>
      <c r="D93" s="321"/>
      <c r="E93" s="322" t="str">
        <f>PROPER(L5)</f>
        <v xml:space="preserve"> </v>
      </c>
      <c r="F93" s="225"/>
      <c r="G93" s="225"/>
      <c r="H93" s="225"/>
      <c r="I93" s="225"/>
      <c r="J93" s="225"/>
      <c r="K93" s="225"/>
      <c r="L93" s="225"/>
      <c r="M93" s="225"/>
      <c r="N93" s="225"/>
      <c r="O93" s="225"/>
      <c r="P93" s="225"/>
      <c r="Q93" s="225"/>
      <c r="R93" s="225"/>
      <c r="S93" s="225"/>
      <c r="T93" s="225"/>
      <c r="U93" s="225"/>
      <c r="V93" s="225"/>
      <c r="W93" s="225"/>
      <c r="X93" s="225"/>
      <c r="Y93" s="225"/>
      <c r="Z93" s="321" t="s">
        <v>100</v>
      </c>
      <c r="AA93" s="98"/>
      <c r="AB93" s="98"/>
      <c r="AC93" s="98"/>
      <c r="AD93" s="98"/>
      <c r="AE93" s="98"/>
      <c r="AF93" s="98"/>
      <c r="AG93" s="98"/>
      <c r="AH93" s="98"/>
      <c r="AI93" s="322" t="str">
        <f>IF(ISBLANK('Basic Information'!L8)," ",PROPER('Basic Information'!L8))</f>
        <v xml:space="preserve"> </v>
      </c>
      <c r="AJ93" s="512"/>
      <c r="AK93" s="512"/>
      <c r="AL93" s="512"/>
      <c r="AM93" s="512"/>
      <c r="AN93" s="512"/>
      <c r="AO93" s="512"/>
      <c r="AP93" s="512"/>
      <c r="AQ93" s="512"/>
      <c r="AR93" s="512"/>
      <c r="AS93" s="512"/>
      <c r="AT93" s="512"/>
      <c r="AU93" s="512"/>
      <c r="AV93" s="512"/>
      <c r="AW93" s="512"/>
      <c r="AX93" s="512"/>
      <c r="AY93" s="512"/>
      <c r="AZ93" s="321" t="s">
        <v>101</v>
      </c>
      <c r="BA93" s="321"/>
      <c r="BB93" s="321"/>
      <c r="BC93" s="321"/>
      <c r="BD93" s="321"/>
      <c r="BE93" s="321"/>
      <c r="BF93" s="321"/>
      <c r="BG93" s="321"/>
      <c r="BH93" s="321"/>
      <c r="BI93" s="321"/>
      <c r="BJ93" s="345"/>
    </row>
    <row r="94" spans="2:70" x14ac:dyDescent="0.3">
      <c r="B94" s="20"/>
      <c r="C94" s="321" t="s">
        <v>102</v>
      </c>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26"/>
    </row>
    <row r="95" spans="2:70" x14ac:dyDescent="0.3">
      <c r="B95" s="20"/>
      <c r="C95" s="321" t="s">
        <v>240</v>
      </c>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1"/>
      <c r="BJ95" s="26"/>
    </row>
    <row r="96" spans="2:70" x14ac:dyDescent="0.3">
      <c r="B96" s="20"/>
      <c r="C96" s="321" t="s">
        <v>104</v>
      </c>
      <c r="D96" s="98"/>
      <c r="E96" s="98"/>
      <c r="F96" s="98"/>
      <c r="G96" s="98"/>
      <c r="H96" s="98"/>
      <c r="I96" s="98"/>
      <c r="J96" s="98"/>
      <c r="K96" s="98"/>
      <c r="L96" s="98"/>
      <c r="M96" s="98"/>
      <c r="N96" s="98"/>
      <c r="O96" s="98"/>
      <c r="P96" s="98"/>
      <c r="Q96" s="98"/>
      <c r="R96" s="98"/>
      <c r="S96" s="98"/>
      <c r="T96" s="98"/>
      <c r="U96" s="98"/>
      <c r="V96" s="98"/>
      <c r="W96" s="98"/>
      <c r="X96" s="98"/>
      <c r="Y96" s="322" t="str">
        <f>UPPER(AN5)</f>
        <v xml:space="preserve"> </v>
      </c>
      <c r="Z96" s="512"/>
      <c r="AA96" s="512"/>
      <c r="AB96" s="512"/>
      <c r="AC96" s="512"/>
      <c r="AD96" s="512"/>
      <c r="AE96" s="512"/>
      <c r="AF96" s="512"/>
      <c r="AG96" s="98"/>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321" t="s">
        <v>14</v>
      </c>
      <c r="AG99" s="98"/>
      <c r="AH99" s="98"/>
      <c r="AI99" s="98"/>
      <c r="AJ99" s="98"/>
      <c r="AK99" s="98"/>
      <c r="AL99" s="98"/>
      <c r="AM99" s="98"/>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290" t="s">
        <v>11</v>
      </c>
      <c r="C101" s="98"/>
      <c r="D101" s="98"/>
      <c r="E101" s="98"/>
      <c r="F101" s="98"/>
      <c r="G101" s="27" t="s">
        <v>5</v>
      </c>
      <c r="H101" s="225" t="str">
        <f>IF(ISBLANK('Basic Information'!H37)," ",PROPER('Basic Information'!H37))</f>
        <v xml:space="preserve"> </v>
      </c>
      <c r="I101" s="226"/>
      <c r="J101" s="226"/>
      <c r="K101" s="226"/>
      <c r="L101" s="226"/>
      <c r="M101" s="226"/>
      <c r="N101" s="226"/>
      <c r="O101" s="226"/>
      <c r="P101" s="226"/>
      <c r="Q101" s="226"/>
      <c r="R101" s="226"/>
      <c r="S101" s="226"/>
      <c r="T101" s="226"/>
      <c r="U101" s="226"/>
      <c r="V101" s="226"/>
      <c r="W101" s="226"/>
      <c r="X101" s="226"/>
      <c r="Y101" s="226"/>
      <c r="Z101" s="12"/>
      <c r="AA101" s="12"/>
      <c r="AB101" s="12"/>
      <c r="AC101" s="12"/>
      <c r="AD101" s="12"/>
      <c r="AE101" s="12"/>
      <c r="AF101" s="321" t="s">
        <v>13</v>
      </c>
      <c r="AG101" s="98"/>
      <c r="AH101" s="98"/>
      <c r="AI101" s="98"/>
      <c r="AJ101" s="98"/>
      <c r="AK101" s="98"/>
      <c r="AL101" s="98"/>
      <c r="AM101" s="98"/>
      <c r="AN101" s="27" t="s">
        <v>5</v>
      </c>
      <c r="AO101" s="510" t="str">
        <f>PROPER(L5)</f>
        <v xml:space="preserve"> </v>
      </c>
      <c r="AP101" s="511"/>
      <c r="AQ101" s="511"/>
      <c r="AR101" s="511"/>
      <c r="AS101" s="511"/>
      <c r="AT101" s="511"/>
      <c r="AU101" s="511"/>
      <c r="AV101" s="511"/>
      <c r="AW101" s="511"/>
      <c r="AX101" s="511"/>
      <c r="AY101" s="511"/>
      <c r="AZ101" s="511"/>
      <c r="BA101" s="511"/>
      <c r="BB101" s="511"/>
      <c r="BC101" s="511"/>
      <c r="BD101" s="511"/>
      <c r="BE101" s="511"/>
      <c r="BF101" s="511"/>
      <c r="BG101" s="511"/>
      <c r="BH101" s="511"/>
      <c r="BI101" s="511"/>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290" t="s">
        <v>12</v>
      </c>
      <c r="C103" s="98"/>
      <c r="D103" s="98"/>
      <c r="E103" s="98"/>
      <c r="F103" s="98"/>
      <c r="G103" s="27" t="s">
        <v>5</v>
      </c>
      <c r="H103" s="225" t="str">
        <f>IF(ISBLANK('Basic Information'!H39)," ",'Basic Information'!H39)</f>
        <v xml:space="preserve"> </v>
      </c>
      <c r="I103" s="226"/>
      <c r="J103" s="226"/>
      <c r="K103" s="226"/>
      <c r="L103" s="226"/>
      <c r="M103" s="226"/>
      <c r="N103" s="226"/>
      <c r="O103" s="226"/>
      <c r="P103" s="226"/>
      <c r="Q103" s="226"/>
      <c r="R103" s="226"/>
      <c r="S103" s="226"/>
      <c r="T103" s="12"/>
      <c r="U103" s="12"/>
      <c r="V103" s="12"/>
      <c r="W103" s="12"/>
      <c r="X103" s="12"/>
      <c r="Y103" s="12"/>
      <c r="Z103" s="12"/>
      <c r="AA103" s="12"/>
      <c r="AB103" s="12"/>
      <c r="AC103" s="12"/>
      <c r="AD103" s="12"/>
      <c r="AE103" s="12"/>
      <c r="AF103" s="321" t="s">
        <v>15</v>
      </c>
      <c r="AG103" s="98"/>
      <c r="AH103" s="98"/>
      <c r="AI103" s="98"/>
      <c r="AJ103" s="98"/>
      <c r="AK103" s="98"/>
      <c r="AL103" s="98"/>
      <c r="AM103" s="98"/>
      <c r="AN103" s="27" t="s">
        <v>5</v>
      </c>
      <c r="AO103" s="510" t="str">
        <f>PROPER(L7)</f>
        <v xml:space="preserve"> </v>
      </c>
      <c r="AP103" s="511"/>
      <c r="AQ103" s="511"/>
      <c r="AR103" s="511"/>
      <c r="AS103" s="511"/>
      <c r="AT103" s="511"/>
      <c r="AU103" s="511"/>
      <c r="AV103" s="511"/>
      <c r="AW103" s="511"/>
      <c r="AX103" s="511"/>
      <c r="AY103" s="511"/>
      <c r="AZ103" s="511"/>
      <c r="BA103" s="511"/>
      <c r="BB103" s="511"/>
      <c r="BC103" s="511"/>
      <c r="BD103" s="511"/>
      <c r="BE103" s="511"/>
      <c r="BF103" s="511"/>
      <c r="BG103" s="511"/>
      <c r="BH103" s="511"/>
      <c r="BI103" s="511"/>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321" t="s">
        <v>6</v>
      </c>
      <c r="Y105" s="98"/>
      <c r="Z105" s="98"/>
      <c r="AA105" s="98"/>
      <c r="AB105" s="98"/>
      <c r="AC105" s="98"/>
      <c r="AD105" s="98"/>
      <c r="AE105" s="98"/>
      <c r="AF105" s="98"/>
      <c r="AG105" s="98"/>
      <c r="AH105" s="98"/>
      <c r="AI105" s="98"/>
      <c r="AJ105" s="98"/>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33" t="s">
        <v>7</v>
      </c>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211" t="str">
        <f>IF(ISBLANK('Basic Information'!M3),"",PROPER('Basic Information'!M3))</f>
        <v/>
      </c>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09"/>
      <c r="AP110" s="509"/>
      <c r="AQ110" s="509"/>
      <c r="AR110" s="509"/>
      <c r="AS110" s="509"/>
      <c r="AT110" s="509"/>
      <c r="AU110" s="509"/>
      <c r="AV110" s="509"/>
      <c r="AW110" s="509"/>
      <c r="AX110" s="509"/>
      <c r="AY110" s="509"/>
      <c r="AZ110" s="509"/>
      <c r="BA110" s="509"/>
      <c r="BB110" s="509"/>
      <c r="BC110" s="509"/>
      <c r="BD110" s="509"/>
      <c r="BE110" s="509"/>
      <c r="BF110" s="509"/>
      <c r="BG110" s="509"/>
      <c r="BH110" s="509"/>
      <c r="BI110" s="509"/>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VWUvQTT1VI1y2EaNTiIcQTMd7fcKsu4jP2yyFHkhoVzMtK5O/4LqP6SlOtVRGBzmuUXU3EGdQEayRaGZkWaP0Q==" saltValue="1K5gd5Lfrhkh5ttSovrw/w==" spinCount="100000" sheet="1" objects="1" scenarios="1" selectLockedCells="1"/>
  <mergeCells count="244">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Q2:BU3"/>
    <mergeCell ref="B3:BJ3"/>
    <mergeCell ref="BQ4:BU5"/>
    <mergeCell ref="B5:J5"/>
    <mergeCell ref="L5:AE5"/>
    <mergeCell ref="AG5:AL5"/>
    <mergeCell ref="AN5:BE5"/>
    <mergeCell ref="B7:J7"/>
    <mergeCell ref="L7:AE7"/>
    <mergeCell ref="BR6:BU7"/>
    <mergeCell ref="B1:BJ1"/>
    <mergeCell ref="B2:BJ2"/>
    <mergeCell ref="H13:J13"/>
    <mergeCell ref="K13:Q13"/>
    <mergeCell ref="R13:X13"/>
    <mergeCell ref="Y13:AE13"/>
    <mergeCell ref="AF13:AL13"/>
    <mergeCell ref="B11:J11"/>
    <mergeCell ref="K11:Q11"/>
    <mergeCell ref="R11:X11"/>
    <mergeCell ref="Y11:AE11"/>
    <mergeCell ref="AF11:AL11"/>
    <mergeCell ref="B9:AH9"/>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Q87:BB87"/>
    <mergeCell ref="BC87:BJ87"/>
    <mergeCell ref="AI93:AY93"/>
    <mergeCell ref="AZ93:BJ93"/>
    <mergeCell ref="B91:BJ91"/>
    <mergeCell ref="B89:AT89"/>
    <mergeCell ref="AV89:BJ89"/>
    <mergeCell ref="C87:J87"/>
    <mergeCell ref="K87:N87"/>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498" t="s">
        <v>74</v>
      </c>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60"/>
      <c r="AP2" s="60"/>
      <c r="AR2" s="232" t="s">
        <v>148</v>
      </c>
      <c r="AS2" s="232"/>
      <c r="AT2" s="232"/>
      <c r="AU2" s="232"/>
      <c r="AV2" s="232"/>
      <c r="AW2" s="232"/>
    </row>
    <row r="3" spans="2:50" ht="15" customHeight="1" x14ac:dyDescent="0.3">
      <c r="B3" s="499" t="s">
        <v>39</v>
      </c>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62"/>
      <c r="AP3" s="62"/>
      <c r="AR3" s="232"/>
      <c r="AS3" s="232"/>
      <c r="AT3" s="232"/>
      <c r="AU3" s="232"/>
      <c r="AV3" s="232"/>
      <c r="AW3" s="232"/>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4"/>
      <c r="AS4" s="114"/>
      <c r="AT4" s="114"/>
      <c r="AU4" s="114"/>
      <c r="AV4" s="114"/>
      <c r="AW4" s="114"/>
    </row>
    <row r="5" spans="2:50" ht="15" customHeight="1" x14ac:dyDescent="0.3">
      <c r="B5" s="499" t="s">
        <v>231</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61"/>
      <c r="AP5" s="61"/>
      <c r="AR5" s="560" t="s">
        <v>20</v>
      </c>
      <c r="AS5" s="560"/>
      <c r="AT5" s="560"/>
      <c r="AU5" s="63"/>
    </row>
    <row r="6" spans="2:50" ht="15" x14ac:dyDescent="0.3">
      <c r="B6" s="61"/>
      <c r="C6" s="62"/>
      <c r="D6" s="499" t="s">
        <v>234</v>
      </c>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14"/>
      <c r="AP6" s="14"/>
      <c r="AR6" s="560"/>
      <c r="AS6" s="560"/>
      <c r="AT6" s="560"/>
    </row>
    <row r="7" spans="2:50" ht="15" customHeight="1" x14ac:dyDescent="0.3">
      <c r="B7" s="499" t="s">
        <v>217</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499"/>
      <c r="AO7" s="61"/>
      <c r="AP7" s="61"/>
      <c r="AS7" s="323" t="s">
        <v>125</v>
      </c>
      <c r="AT7" s="323"/>
      <c r="AU7" s="323"/>
      <c r="AV7" s="323"/>
    </row>
    <row r="8" spans="2:50" ht="15" customHeight="1" x14ac:dyDescent="0.3">
      <c r="B8" s="499" t="s">
        <v>40</v>
      </c>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61"/>
      <c r="AP8" s="61"/>
      <c r="AS8" s="323"/>
      <c r="AT8" s="323"/>
      <c r="AU8" s="323"/>
      <c r="AV8" s="323"/>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60" t="s">
        <v>21</v>
      </c>
      <c r="AS9" s="560"/>
      <c r="AT9" s="560"/>
      <c r="AU9" s="560"/>
      <c r="AV9" s="560"/>
      <c r="AW9" s="63"/>
      <c r="AX9" s="63"/>
    </row>
    <row r="10" spans="2:50" ht="15" customHeight="1" x14ac:dyDescent="0.3">
      <c r="B10" s="1"/>
      <c r="C10" s="500" t="s">
        <v>38</v>
      </c>
      <c r="D10" s="501"/>
      <c r="E10" s="501"/>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1"/>
      <c r="AP10" s="1"/>
      <c r="AR10" s="560"/>
      <c r="AS10" s="560"/>
      <c r="AT10" s="560"/>
      <c r="AU10" s="560"/>
      <c r="AV10" s="560"/>
      <c r="AW10" s="63"/>
      <c r="AX10" s="63"/>
    </row>
    <row r="11" spans="2:50" ht="15" customHeight="1" x14ac:dyDescent="0.3">
      <c r="B11" s="1"/>
      <c r="C11" s="489">
        <v>1</v>
      </c>
      <c r="D11" s="489" t="s">
        <v>80</v>
      </c>
      <c r="E11" s="244"/>
      <c r="F11" s="244"/>
      <c r="G11" s="244"/>
      <c r="H11" s="244"/>
      <c r="I11" s="244"/>
      <c r="J11" s="244"/>
      <c r="K11" s="244"/>
      <c r="L11" s="244"/>
      <c r="M11" s="244"/>
      <c r="N11" s="244"/>
      <c r="O11" s="244"/>
      <c r="P11" s="244"/>
      <c r="Q11" s="244"/>
      <c r="R11" s="244"/>
      <c r="S11" s="490"/>
      <c r="T11" s="10" t="s">
        <v>5</v>
      </c>
      <c r="U11" s="495" t="str">
        <f>IF(ISBLANK('Basic Information'!L6)," ",PROPER('Basic Information'!L6))</f>
        <v xml:space="preserve"> </v>
      </c>
      <c r="V11" s="495"/>
      <c r="W11" s="495"/>
      <c r="X11" s="495"/>
      <c r="Y11" s="495"/>
      <c r="Z11" s="495"/>
      <c r="AA11" s="495"/>
      <c r="AB11" s="495"/>
      <c r="AC11" s="495"/>
      <c r="AD11" s="495"/>
      <c r="AE11" s="495"/>
      <c r="AF11" s="495"/>
      <c r="AG11" s="495"/>
      <c r="AH11" s="495"/>
      <c r="AI11" s="495"/>
      <c r="AJ11" s="495"/>
      <c r="AK11" s="495"/>
      <c r="AL11" s="495"/>
      <c r="AM11" s="495"/>
      <c r="AN11" s="495"/>
      <c r="AO11" s="61"/>
      <c r="AP11" s="61"/>
      <c r="AR11" s="326" t="s">
        <v>124</v>
      </c>
      <c r="AS11" s="326"/>
      <c r="AT11" s="326"/>
      <c r="AU11" s="326"/>
      <c r="AV11" s="326"/>
      <c r="AW11" s="326"/>
      <c r="AX11" s="64"/>
    </row>
    <row r="12" spans="2:50" ht="15" customHeight="1" x14ac:dyDescent="0.3">
      <c r="B12" s="1"/>
      <c r="C12" s="489"/>
      <c r="D12" s="503" t="s">
        <v>141</v>
      </c>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61"/>
      <c r="AP12" s="61"/>
      <c r="AR12" s="326"/>
      <c r="AS12" s="326"/>
      <c r="AT12" s="326"/>
      <c r="AU12" s="326"/>
      <c r="AV12" s="326"/>
      <c r="AW12" s="326"/>
      <c r="AX12" s="64"/>
    </row>
    <row r="13" spans="2:50" ht="15" customHeight="1" x14ac:dyDescent="0.3">
      <c r="B13" s="1"/>
      <c r="C13" s="489"/>
      <c r="D13" s="489" t="s">
        <v>109</v>
      </c>
      <c r="E13" s="244"/>
      <c r="F13" s="244"/>
      <c r="G13" s="244"/>
      <c r="H13" s="244"/>
      <c r="I13" s="244"/>
      <c r="J13" s="244"/>
      <c r="K13" s="244"/>
      <c r="L13" s="244"/>
      <c r="M13" s="244"/>
      <c r="N13" s="244"/>
      <c r="O13" s="244"/>
      <c r="P13" s="244"/>
      <c r="Q13" s="244"/>
      <c r="R13" s="244"/>
      <c r="S13" s="490"/>
      <c r="T13" s="10" t="s">
        <v>5</v>
      </c>
      <c r="U13" s="559" t="str">
        <f>IF(ISBLANK('Form 10E - Old Scheme'!U13),"",'Form 10E - Old Scheme'!U13)</f>
        <v/>
      </c>
      <c r="V13" s="559"/>
      <c r="W13" s="559"/>
      <c r="X13" s="559"/>
      <c r="Y13" s="559"/>
      <c r="Z13" s="559"/>
      <c r="AA13" s="559"/>
      <c r="AB13" s="559"/>
      <c r="AC13" s="559"/>
      <c r="AD13" s="559"/>
      <c r="AE13" s="559"/>
      <c r="AF13" s="559"/>
      <c r="AG13" s="559"/>
      <c r="AH13" s="559"/>
      <c r="AI13" s="559"/>
      <c r="AJ13" s="559"/>
      <c r="AK13" s="559"/>
      <c r="AL13" s="559"/>
      <c r="AM13" s="559"/>
      <c r="AN13" s="559"/>
      <c r="AO13" s="1"/>
      <c r="AP13" s="1"/>
      <c r="AR13" s="561" t="s">
        <v>36</v>
      </c>
      <c r="AS13" s="561"/>
      <c r="AT13" s="561"/>
      <c r="AU13" s="561"/>
      <c r="AV13" s="561"/>
      <c r="AW13" s="561"/>
      <c r="AX13" s="64"/>
    </row>
    <row r="14" spans="2:50" ht="15" customHeight="1" x14ac:dyDescent="0.3">
      <c r="B14" s="1"/>
      <c r="C14" s="489"/>
      <c r="D14" s="489" t="s">
        <v>110</v>
      </c>
      <c r="E14" s="244"/>
      <c r="F14" s="244"/>
      <c r="G14" s="244"/>
      <c r="H14" s="244"/>
      <c r="I14" s="244"/>
      <c r="J14" s="244"/>
      <c r="K14" s="244"/>
      <c r="L14" s="244"/>
      <c r="M14" s="244"/>
      <c r="N14" s="244"/>
      <c r="O14" s="244"/>
      <c r="P14" s="244"/>
      <c r="Q14" s="244"/>
      <c r="R14" s="244"/>
      <c r="S14" s="490"/>
      <c r="T14" s="10" t="s">
        <v>5</v>
      </c>
      <c r="U14" s="495" t="str">
        <f>IF(ISBLANK('Form 10E - Old Scheme'!U14),"",'Form 10E - Old Scheme'!U14)</f>
        <v/>
      </c>
      <c r="V14" s="495"/>
      <c r="W14" s="495"/>
      <c r="X14" s="495"/>
      <c r="Y14" s="495"/>
      <c r="Z14" s="495"/>
      <c r="AA14" s="495"/>
      <c r="AB14" s="495"/>
      <c r="AC14" s="495"/>
      <c r="AD14" s="495"/>
      <c r="AE14" s="495"/>
      <c r="AF14" s="495"/>
      <c r="AG14" s="495"/>
      <c r="AH14" s="495"/>
      <c r="AI14" s="495"/>
      <c r="AJ14" s="495"/>
      <c r="AK14" s="495"/>
      <c r="AL14" s="495"/>
      <c r="AM14" s="495"/>
      <c r="AN14" s="495"/>
      <c r="AO14" s="1"/>
      <c r="AP14" s="1"/>
      <c r="AR14" s="561"/>
      <c r="AS14" s="561"/>
      <c r="AT14" s="561"/>
      <c r="AU14" s="561"/>
      <c r="AV14" s="561"/>
      <c r="AW14" s="561"/>
      <c r="AX14" s="64"/>
    </row>
    <row r="15" spans="2:50" ht="15" customHeight="1" x14ac:dyDescent="0.3">
      <c r="B15" s="1"/>
      <c r="C15" s="489"/>
      <c r="D15" s="489" t="s">
        <v>108</v>
      </c>
      <c r="E15" s="244"/>
      <c r="F15" s="244"/>
      <c r="G15" s="244"/>
      <c r="H15" s="244"/>
      <c r="I15" s="244"/>
      <c r="J15" s="244"/>
      <c r="K15" s="244"/>
      <c r="L15" s="244"/>
      <c r="M15" s="244"/>
      <c r="N15" s="244"/>
      <c r="O15" s="244"/>
      <c r="P15" s="244"/>
      <c r="Q15" s="244"/>
      <c r="R15" s="244"/>
      <c r="S15" s="490"/>
      <c r="T15" s="10" t="s">
        <v>5</v>
      </c>
      <c r="U15" s="559" t="str">
        <f>IF(ISBLANK('Form 10E - Old Scheme'!U15),"",'Form 10E - Old Scheme'!U15)</f>
        <v/>
      </c>
      <c r="V15" s="559"/>
      <c r="W15" s="559"/>
      <c r="X15" s="559"/>
      <c r="Y15" s="559"/>
      <c r="Z15" s="559"/>
      <c r="AA15" s="559"/>
      <c r="AB15" s="559"/>
      <c r="AC15" s="559"/>
      <c r="AD15" s="559"/>
      <c r="AE15" s="559"/>
      <c r="AF15" s="559"/>
      <c r="AG15" s="559"/>
      <c r="AH15" s="559"/>
      <c r="AI15" s="559"/>
      <c r="AJ15" s="559"/>
      <c r="AK15" s="559"/>
      <c r="AL15" s="559"/>
      <c r="AM15" s="559"/>
      <c r="AN15" s="559"/>
      <c r="AO15" s="1"/>
      <c r="AP15" s="1"/>
      <c r="AS15" s="505" t="s">
        <v>22</v>
      </c>
      <c r="AT15" s="98"/>
      <c r="AU15" s="98"/>
      <c r="AV15" s="562"/>
      <c r="AW15" s="563"/>
      <c r="AX15" s="64"/>
    </row>
    <row r="16" spans="2:50" ht="15" customHeight="1" x14ac:dyDescent="0.3">
      <c r="B16" s="1"/>
      <c r="C16" s="489"/>
      <c r="D16" s="489" t="s">
        <v>107</v>
      </c>
      <c r="E16" s="244"/>
      <c r="F16" s="244"/>
      <c r="G16" s="244"/>
      <c r="H16" s="244"/>
      <c r="I16" s="244"/>
      <c r="J16" s="244"/>
      <c r="K16" s="244"/>
      <c r="L16" s="244"/>
      <c r="M16" s="244"/>
      <c r="N16" s="244"/>
      <c r="O16" s="244"/>
      <c r="P16" s="244"/>
      <c r="Q16" s="244"/>
      <c r="R16" s="244"/>
      <c r="S16" s="490"/>
      <c r="T16" s="10" t="s">
        <v>5</v>
      </c>
      <c r="U16" s="495" t="str">
        <f>IF(ISBLANK('Form 10E - Old Scheme'!U16),"",'Form 10E - Old Scheme'!U16)</f>
        <v/>
      </c>
      <c r="V16" s="495"/>
      <c r="W16" s="495"/>
      <c r="X16" s="495"/>
      <c r="Y16" s="495"/>
      <c r="Z16" s="495"/>
      <c r="AA16" s="495"/>
      <c r="AB16" s="495"/>
      <c r="AC16" s="495"/>
      <c r="AD16" s="495"/>
      <c r="AE16" s="495"/>
      <c r="AF16" s="495"/>
      <c r="AG16" s="495"/>
      <c r="AH16" s="495"/>
      <c r="AI16" s="495"/>
      <c r="AJ16" s="495"/>
      <c r="AK16" s="495"/>
      <c r="AL16" s="495"/>
      <c r="AM16" s="495"/>
      <c r="AN16" s="495"/>
      <c r="AO16" s="1"/>
      <c r="AP16" s="1"/>
      <c r="AS16" s="71"/>
      <c r="AT16" s="71"/>
      <c r="AU16" s="71"/>
      <c r="AV16" s="64"/>
      <c r="AW16" s="72"/>
      <c r="AX16" s="64"/>
    </row>
    <row r="17" spans="2:51" ht="15" customHeight="1" x14ac:dyDescent="0.3">
      <c r="B17" s="1"/>
      <c r="C17" s="489"/>
      <c r="D17" s="489" t="s">
        <v>106</v>
      </c>
      <c r="E17" s="244"/>
      <c r="F17" s="244"/>
      <c r="G17" s="244"/>
      <c r="H17" s="244"/>
      <c r="I17" s="244"/>
      <c r="J17" s="244"/>
      <c r="K17" s="244"/>
      <c r="L17" s="244"/>
      <c r="M17" s="244"/>
      <c r="N17" s="244"/>
      <c r="O17" s="244"/>
      <c r="P17" s="244"/>
      <c r="Q17" s="244"/>
      <c r="R17" s="244"/>
      <c r="S17" s="490"/>
      <c r="T17" s="10" t="s">
        <v>5</v>
      </c>
      <c r="U17" s="559" t="str">
        <f>IF(ISBLANK('Form 10E - Old Scheme'!U17),"",'Form 10E - Old Scheme'!U17)</f>
        <v/>
      </c>
      <c r="V17" s="559"/>
      <c r="W17" s="559"/>
      <c r="X17" s="559"/>
      <c r="Y17" s="559"/>
      <c r="Z17" s="559"/>
      <c r="AA17" s="559"/>
      <c r="AB17" s="559"/>
      <c r="AC17" s="559"/>
      <c r="AD17" s="559"/>
      <c r="AE17" s="559"/>
      <c r="AF17" s="559"/>
      <c r="AG17" s="559"/>
      <c r="AH17" s="559"/>
      <c r="AI17" s="559"/>
      <c r="AJ17" s="559"/>
      <c r="AK17" s="559"/>
      <c r="AL17" s="559"/>
      <c r="AM17" s="559"/>
      <c r="AN17" s="559"/>
      <c r="AO17" s="1"/>
      <c r="AP17" s="1"/>
      <c r="AU17" s="64"/>
      <c r="AV17" s="64"/>
      <c r="AW17" s="64"/>
      <c r="AX17" s="64"/>
    </row>
    <row r="18" spans="2:51" ht="15" customHeight="1" x14ac:dyDescent="0.3">
      <c r="B18" s="1"/>
      <c r="C18" s="489"/>
      <c r="D18" s="489" t="s">
        <v>81</v>
      </c>
      <c r="E18" s="244"/>
      <c r="F18" s="244"/>
      <c r="G18" s="244"/>
      <c r="H18" s="244"/>
      <c r="I18" s="244"/>
      <c r="J18" s="244"/>
      <c r="K18" s="244"/>
      <c r="L18" s="244"/>
      <c r="M18" s="244"/>
      <c r="N18" s="244"/>
      <c r="O18" s="244"/>
      <c r="P18" s="244"/>
      <c r="Q18" s="244"/>
      <c r="R18" s="244"/>
      <c r="S18" s="490"/>
      <c r="T18" s="10" t="s">
        <v>5</v>
      </c>
      <c r="U18" s="495" t="str">
        <f>IF(ISBLANK('Form 10E - Old Scheme'!U18),"",'Form 10E - Old Scheme'!U18)</f>
        <v/>
      </c>
      <c r="V18" s="495"/>
      <c r="W18" s="495"/>
      <c r="X18" s="495"/>
      <c r="Y18" s="495"/>
      <c r="Z18" s="495"/>
      <c r="AA18" s="495"/>
      <c r="AB18" s="495"/>
      <c r="AC18" s="495"/>
      <c r="AD18" s="495"/>
      <c r="AE18" s="495"/>
      <c r="AF18" s="495"/>
      <c r="AG18" s="495"/>
      <c r="AH18" s="495"/>
      <c r="AI18" s="495"/>
      <c r="AJ18" s="495"/>
      <c r="AK18" s="495"/>
      <c r="AL18" s="495"/>
      <c r="AM18" s="495"/>
      <c r="AN18" s="495"/>
      <c r="AO18" s="1"/>
      <c r="AP18" s="1"/>
      <c r="AR18" s="332" t="s">
        <v>140</v>
      </c>
      <c r="AS18" s="332"/>
      <c r="AT18" s="332"/>
      <c r="AU18" s="332"/>
      <c r="AV18" s="332"/>
      <c r="AW18" s="332"/>
      <c r="AX18" s="564"/>
    </row>
    <row r="19" spans="2:51" ht="15" customHeight="1" x14ac:dyDescent="0.3">
      <c r="B19" s="1"/>
      <c r="C19" s="502"/>
      <c r="D19" s="489" t="s">
        <v>142</v>
      </c>
      <c r="E19" s="244"/>
      <c r="F19" s="244"/>
      <c r="G19" s="244"/>
      <c r="H19" s="244"/>
      <c r="I19" s="244"/>
      <c r="J19" s="244"/>
      <c r="K19" s="244"/>
      <c r="L19" s="244"/>
      <c r="M19" s="244"/>
      <c r="N19" s="244"/>
      <c r="O19" s="244"/>
      <c r="P19" s="244"/>
      <c r="Q19" s="244"/>
      <c r="R19" s="244"/>
      <c r="S19" s="490"/>
      <c r="T19" s="10" t="s">
        <v>5</v>
      </c>
      <c r="U19" s="559" t="str">
        <f>IF(ISBLANK('Form 10E - Old Scheme'!U19),"",'Form 10E - Old Scheme'!U19)</f>
        <v/>
      </c>
      <c r="V19" s="559"/>
      <c r="W19" s="559"/>
      <c r="X19" s="559"/>
      <c r="Y19" s="559"/>
      <c r="Z19" s="559"/>
      <c r="AA19" s="559"/>
      <c r="AB19" s="559"/>
      <c r="AC19" s="559"/>
      <c r="AD19" s="559"/>
      <c r="AE19" s="559"/>
      <c r="AF19" s="559"/>
      <c r="AG19" s="559"/>
      <c r="AH19" s="559"/>
      <c r="AI19" s="559"/>
      <c r="AJ19" s="559"/>
      <c r="AK19" s="559"/>
      <c r="AL19" s="559"/>
      <c r="AM19" s="559"/>
      <c r="AN19" s="559"/>
      <c r="AO19" s="1"/>
      <c r="AP19" s="1"/>
      <c r="AR19" s="332"/>
      <c r="AS19" s="332"/>
      <c r="AT19" s="332"/>
      <c r="AU19" s="332"/>
      <c r="AV19" s="332"/>
      <c r="AW19" s="332"/>
      <c r="AX19" s="564"/>
    </row>
    <row r="20" spans="2:51" ht="15" customHeight="1" x14ac:dyDescent="0.3">
      <c r="B20" s="1"/>
      <c r="C20" s="9">
        <v>2</v>
      </c>
      <c r="D20" s="493" t="s">
        <v>41</v>
      </c>
      <c r="E20" s="493"/>
      <c r="F20" s="493"/>
      <c r="G20" s="493"/>
      <c r="H20" s="493"/>
      <c r="I20" s="493"/>
      <c r="J20" s="493"/>
      <c r="K20" s="493"/>
      <c r="L20" s="493"/>
      <c r="M20" s="493"/>
      <c r="N20" s="493"/>
      <c r="O20" s="493"/>
      <c r="P20" s="493"/>
      <c r="Q20" s="493"/>
      <c r="R20" s="493"/>
      <c r="S20" s="494"/>
      <c r="T20" s="11" t="s">
        <v>5</v>
      </c>
      <c r="U20" s="495" t="str">
        <f>IF(ISNONTEXT('Basic Information'!AK6)," ",UPPER('Basic Information'!AK6))</f>
        <v xml:space="preserve"> </v>
      </c>
      <c r="V20" s="495"/>
      <c r="W20" s="495"/>
      <c r="X20" s="495"/>
      <c r="Y20" s="495"/>
      <c r="Z20" s="495"/>
      <c r="AA20" s="495"/>
      <c r="AB20" s="495"/>
      <c r="AC20" s="495"/>
      <c r="AD20" s="495"/>
      <c r="AE20" s="495"/>
      <c r="AF20" s="495"/>
      <c r="AG20" s="495"/>
      <c r="AH20" s="495"/>
      <c r="AI20" s="495"/>
      <c r="AJ20" s="495"/>
      <c r="AK20" s="495"/>
      <c r="AL20" s="495"/>
      <c r="AM20" s="495"/>
      <c r="AN20" s="495"/>
      <c r="AO20" s="1"/>
      <c r="AP20" s="1"/>
      <c r="AR20" s="332"/>
      <c r="AS20" s="332"/>
      <c r="AT20" s="332"/>
      <c r="AU20" s="332"/>
      <c r="AV20" s="332"/>
      <c r="AW20" s="332"/>
      <c r="AX20" s="564"/>
    </row>
    <row r="21" spans="2:51" x14ac:dyDescent="0.3">
      <c r="B21" s="1"/>
      <c r="C21" s="9">
        <v>3</v>
      </c>
      <c r="D21" s="493" t="s">
        <v>42</v>
      </c>
      <c r="E21" s="493"/>
      <c r="F21" s="493"/>
      <c r="G21" s="493"/>
      <c r="H21" s="493"/>
      <c r="I21" s="493"/>
      <c r="J21" s="493"/>
      <c r="K21" s="493"/>
      <c r="L21" s="493"/>
      <c r="M21" s="493"/>
      <c r="N21" s="493"/>
      <c r="O21" s="493"/>
      <c r="P21" s="493"/>
      <c r="Q21" s="493"/>
      <c r="R21" s="493"/>
      <c r="S21" s="494"/>
      <c r="T21" s="11" t="s">
        <v>5</v>
      </c>
      <c r="U21" s="559" t="str">
        <f>IF(ISBLANK('Form 10E - Old Scheme'!U21),"",'Form 10E - Old Scheme'!U21)</f>
        <v/>
      </c>
      <c r="V21" s="559"/>
      <c r="W21" s="559"/>
      <c r="X21" s="559"/>
      <c r="Y21" s="559"/>
      <c r="Z21" s="559"/>
      <c r="AA21" s="559"/>
      <c r="AB21" s="559"/>
      <c r="AC21" s="559"/>
      <c r="AD21" s="559"/>
      <c r="AE21" s="559"/>
      <c r="AF21" s="559"/>
      <c r="AG21" s="559"/>
      <c r="AH21" s="559"/>
      <c r="AI21" s="559"/>
      <c r="AJ21" s="559"/>
      <c r="AK21" s="559"/>
      <c r="AL21" s="559"/>
      <c r="AM21" s="559"/>
      <c r="AN21" s="559"/>
      <c r="AO21" s="1"/>
      <c r="AP21" s="1"/>
      <c r="AR21" s="332"/>
      <c r="AS21" s="332"/>
      <c r="AT21" s="332"/>
      <c r="AU21" s="332"/>
      <c r="AV21" s="332"/>
      <c r="AW21" s="332"/>
      <c r="AX21" s="564"/>
    </row>
    <row r="22" spans="2:51" x14ac:dyDescent="0.3">
      <c r="B22" s="1"/>
      <c r="C22" s="9">
        <v>4</v>
      </c>
      <c r="D22" s="493" t="s">
        <v>44</v>
      </c>
      <c r="E22" s="493"/>
      <c r="F22" s="493"/>
      <c r="G22" s="493"/>
      <c r="H22" s="493"/>
      <c r="I22" s="493"/>
      <c r="J22" s="493"/>
      <c r="K22" s="493"/>
      <c r="L22" s="493"/>
      <c r="M22" s="493"/>
      <c r="N22" s="493"/>
      <c r="O22" s="493"/>
      <c r="P22" s="493"/>
      <c r="Q22" s="493"/>
      <c r="R22" s="493"/>
      <c r="S22" s="494"/>
      <c r="T22" s="11" t="s">
        <v>5</v>
      </c>
      <c r="U22" s="495" t="str">
        <f>IF(ISBLANK('Form 10E - Old Scheme'!U22),"",'Form 10E - Old Scheme'!U22)</f>
        <v/>
      </c>
      <c r="V22" s="495"/>
      <c r="W22" s="495"/>
      <c r="X22" s="495"/>
      <c r="Y22" s="495"/>
      <c r="Z22" s="495"/>
      <c r="AA22" s="495"/>
      <c r="AB22" s="495"/>
      <c r="AC22" s="495"/>
      <c r="AD22" s="495"/>
      <c r="AE22" s="495"/>
      <c r="AF22" s="495"/>
      <c r="AG22" s="495"/>
      <c r="AH22" s="495"/>
      <c r="AI22" s="495"/>
      <c r="AJ22" s="495"/>
      <c r="AK22" s="495"/>
      <c r="AL22" s="495"/>
      <c r="AM22" s="495"/>
      <c r="AN22" s="495"/>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88" t="s">
        <v>45</v>
      </c>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62"/>
      <c r="AP24" s="62"/>
    </row>
    <row r="25" spans="2:51" x14ac:dyDescent="0.3">
      <c r="B25" s="1"/>
      <c r="C25" s="1"/>
      <c r="D25" s="1"/>
      <c r="E25" s="1"/>
      <c r="F25" s="1"/>
      <c r="G25" s="431" t="s">
        <v>232</v>
      </c>
      <c r="H25" s="98"/>
      <c r="I25" s="98"/>
      <c r="J25" s="98"/>
      <c r="K25" s="98"/>
      <c r="L25" s="98"/>
      <c r="M25" s="98"/>
      <c r="N25" s="98"/>
      <c r="O25" s="98"/>
      <c r="P25" s="98"/>
      <c r="Q25" s="98"/>
      <c r="R25" s="98"/>
      <c r="S25" s="98"/>
      <c r="T25" s="98"/>
      <c r="U25" s="98"/>
      <c r="V25" s="98"/>
      <c r="W25" s="98"/>
      <c r="X25" s="98"/>
      <c r="Y25" s="98"/>
      <c r="Z25" s="98"/>
      <c r="AA25" s="431" t="s">
        <v>163</v>
      </c>
      <c r="AB25" s="431"/>
      <c r="AC25" s="431"/>
      <c r="AD25" s="431"/>
      <c r="AE25" s="431"/>
      <c r="AF25" s="431"/>
      <c r="AG25" s="431"/>
      <c r="AH25" s="431"/>
      <c r="AI25" s="431"/>
      <c r="AJ25" s="431"/>
      <c r="AK25" s="431"/>
      <c r="AL25" s="43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121</v>
      </c>
      <c r="AU26" s="59"/>
      <c r="AV26" s="59"/>
      <c r="AW26" s="59"/>
      <c r="AX26" s="59"/>
      <c r="AY26" s="59"/>
    </row>
    <row r="27" spans="2:51" ht="15" customHeight="1" x14ac:dyDescent="0.3">
      <c r="B27" s="1"/>
      <c r="C27" s="366">
        <v>1</v>
      </c>
      <c r="D27" s="366" t="s">
        <v>8</v>
      </c>
      <c r="E27" s="366"/>
      <c r="F27" s="435" t="s">
        <v>46</v>
      </c>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7"/>
      <c r="AE27" s="438"/>
      <c r="AF27" s="554">
        <f>IF(AND(AP27&gt;='Form 10E - Old Scheme'!AF27,ISNUMBER('Form 10E - Old Scheme'!AF27)),'Form 10E - Old Scheme'!AF27,0)</f>
        <v>0</v>
      </c>
      <c r="AG27" s="555"/>
      <c r="AH27" s="555"/>
      <c r="AI27" s="555"/>
      <c r="AJ27" s="555"/>
      <c r="AK27" s="555"/>
      <c r="AL27" s="555"/>
      <c r="AM27" s="555"/>
      <c r="AN27" s="556"/>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417"/>
      <c r="D28" s="417"/>
      <c r="E28" s="417"/>
      <c r="F28" s="439"/>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1"/>
      <c r="AE28" s="442"/>
      <c r="AF28" s="557"/>
      <c r="AG28" s="557"/>
      <c r="AH28" s="557"/>
      <c r="AI28" s="557"/>
      <c r="AJ28" s="557"/>
      <c r="AK28" s="557"/>
      <c r="AL28" s="557"/>
      <c r="AM28" s="557"/>
      <c r="AN28" s="558"/>
      <c r="AO28" s="3"/>
      <c r="AP28" s="3"/>
      <c r="AT28" s="55"/>
      <c r="AU28" s="55"/>
      <c r="AV28" s="55"/>
      <c r="AW28" s="55"/>
      <c r="AX28" s="55"/>
      <c r="AY28" s="55"/>
    </row>
    <row r="29" spans="2:51" ht="15" customHeight="1" x14ac:dyDescent="0.3">
      <c r="B29" s="1"/>
      <c r="C29" s="451"/>
      <c r="D29" s="454" t="s">
        <v>9</v>
      </c>
      <c r="E29" s="455"/>
      <c r="F29" s="435" t="s">
        <v>75</v>
      </c>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1"/>
      <c r="AF29" s="443" t="s">
        <v>47</v>
      </c>
      <c r="AG29" s="481"/>
      <c r="AH29" s="481"/>
      <c r="AI29" s="481"/>
      <c r="AJ29" s="481"/>
      <c r="AK29" s="481"/>
      <c r="AL29" s="481"/>
      <c r="AM29" s="481"/>
      <c r="AN29" s="482"/>
      <c r="AO29" s="3"/>
      <c r="AP29" s="3"/>
      <c r="AT29" s="55"/>
      <c r="AU29" s="55"/>
      <c r="AV29" s="55"/>
      <c r="AW29" s="55"/>
      <c r="AX29" s="55"/>
      <c r="AY29" s="55"/>
    </row>
    <row r="30" spans="2:51" ht="15" customHeight="1" x14ac:dyDescent="0.3">
      <c r="B30" s="1"/>
      <c r="C30" s="452"/>
      <c r="D30" s="456"/>
      <c r="E30" s="457"/>
      <c r="F30" s="462"/>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4"/>
      <c r="AF30" s="483"/>
      <c r="AG30" s="483"/>
      <c r="AH30" s="483"/>
      <c r="AI30" s="483"/>
      <c r="AJ30" s="483"/>
      <c r="AK30" s="483"/>
      <c r="AL30" s="483"/>
      <c r="AM30" s="483"/>
      <c r="AN30" s="484"/>
      <c r="AO30" s="3"/>
      <c r="AP30" s="3"/>
      <c r="AT30" s="55"/>
      <c r="AU30" s="55"/>
      <c r="AV30" s="55"/>
      <c r="AW30" s="55"/>
      <c r="AX30" s="55"/>
      <c r="AY30" s="55"/>
    </row>
    <row r="31" spans="2:51" x14ac:dyDescent="0.3">
      <c r="B31" s="1"/>
      <c r="C31" s="453"/>
      <c r="D31" s="458"/>
      <c r="E31" s="459"/>
      <c r="F31" s="465"/>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7"/>
      <c r="AF31" s="485"/>
      <c r="AG31" s="485"/>
      <c r="AH31" s="485"/>
      <c r="AI31" s="485"/>
      <c r="AJ31" s="485"/>
      <c r="AK31" s="485"/>
      <c r="AL31" s="485"/>
      <c r="AM31" s="485"/>
      <c r="AN31" s="486"/>
      <c r="AO31" s="3"/>
      <c r="AP31" s="3"/>
    </row>
    <row r="32" spans="2:51" x14ac:dyDescent="0.3">
      <c r="B32" s="1"/>
      <c r="C32" s="451"/>
      <c r="D32" s="454" t="s">
        <v>48</v>
      </c>
      <c r="E32" s="455"/>
      <c r="F32" s="435" t="s">
        <v>76</v>
      </c>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1"/>
      <c r="AF32" s="468" t="s">
        <v>47</v>
      </c>
      <c r="AG32" s="469"/>
      <c r="AH32" s="469"/>
      <c r="AI32" s="469"/>
      <c r="AJ32" s="469"/>
      <c r="AK32" s="469"/>
      <c r="AL32" s="469"/>
      <c r="AM32" s="469"/>
      <c r="AN32" s="470"/>
      <c r="AO32" s="65"/>
      <c r="AP32" s="65"/>
    </row>
    <row r="33" spans="2:42" x14ac:dyDescent="0.3">
      <c r="B33" s="1"/>
      <c r="C33" s="452"/>
      <c r="D33" s="456"/>
      <c r="E33" s="457"/>
      <c r="F33" s="462"/>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4"/>
      <c r="AF33" s="471"/>
      <c r="AG33" s="387"/>
      <c r="AH33" s="387"/>
      <c r="AI33" s="387"/>
      <c r="AJ33" s="387"/>
      <c r="AK33" s="387"/>
      <c r="AL33" s="387"/>
      <c r="AM33" s="387"/>
      <c r="AN33" s="472"/>
      <c r="AO33" s="65"/>
      <c r="AP33" s="65"/>
    </row>
    <row r="34" spans="2:42" x14ac:dyDescent="0.3">
      <c r="B34" s="1"/>
      <c r="C34" s="452"/>
      <c r="D34" s="456"/>
      <c r="E34" s="457"/>
      <c r="F34" s="462"/>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4"/>
      <c r="AF34" s="471"/>
      <c r="AG34" s="387"/>
      <c r="AH34" s="387"/>
      <c r="AI34" s="387"/>
      <c r="AJ34" s="387"/>
      <c r="AK34" s="387"/>
      <c r="AL34" s="387"/>
      <c r="AM34" s="387"/>
      <c r="AN34" s="472"/>
      <c r="AO34" s="65"/>
      <c r="AP34" s="65"/>
    </row>
    <row r="35" spans="2:42" x14ac:dyDescent="0.3">
      <c r="B35" s="1"/>
      <c r="C35" s="452"/>
      <c r="D35" s="456"/>
      <c r="E35" s="457"/>
      <c r="F35" s="462"/>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4"/>
      <c r="AF35" s="471"/>
      <c r="AG35" s="387"/>
      <c r="AH35" s="387"/>
      <c r="AI35" s="387"/>
      <c r="AJ35" s="387"/>
      <c r="AK35" s="387"/>
      <c r="AL35" s="387"/>
      <c r="AM35" s="387"/>
      <c r="AN35" s="472"/>
      <c r="AO35" s="65"/>
      <c r="AP35" s="65"/>
    </row>
    <row r="36" spans="2:42" x14ac:dyDescent="0.3">
      <c r="B36" s="1"/>
      <c r="C36" s="452"/>
      <c r="D36" s="456"/>
      <c r="E36" s="457"/>
      <c r="F36" s="462"/>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4"/>
      <c r="AF36" s="471"/>
      <c r="AG36" s="387"/>
      <c r="AH36" s="387"/>
      <c r="AI36" s="387"/>
      <c r="AJ36" s="387"/>
      <c r="AK36" s="387"/>
      <c r="AL36" s="387"/>
      <c r="AM36" s="387"/>
      <c r="AN36" s="472"/>
      <c r="AO36" s="65"/>
      <c r="AP36" s="65"/>
    </row>
    <row r="37" spans="2:42" x14ac:dyDescent="0.3">
      <c r="B37" s="1"/>
      <c r="C37" s="453"/>
      <c r="D37" s="458"/>
      <c r="E37" s="459"/>
      <c r="F37" s="465"/>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7"/>
      <c r="AF37" s="473"/>
      <c r="AG37" s="474"/>
      <c r="AH37" s="474"/>
      <c r="AI37" s="474"/>
      <c r="AJ37" s="474"/>
      <c r="AK37" s="474"/>
      <c r="AL37" s="474"/>
      <c r="AM37" s="474"/>
      <c r="AN37" s="475"/>
      <c r="AO37" s="65"/>
      <c r="AP37" s="65"/>
    </row>
    <row r="38" spans="2:42" x14ac:dyDescent="0.3">
      <c r="B38" s="1"/>
      <c r="C38" s="366"/>
      <c r="D38" s="366" t="s">
        <v>10</v>
      </c>
      <c r="E38" s="366"/>
      <c r="F38" s="435" t="s">
        <v>49</v>
      </c>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7"/>
      <c r="AE38" s="438"/>
      <c r="AF38" s="443" t="s">
        <v>47</v>
      </c>
      <c r="AG38" s="444"/>
      <c r="AH38" s="444"/>
      <c r="AI38" s="444"/>
      <c r="AJ38" s="444"/>
      <c r="AK38" s="444"/>
      <c r="AL38" s="444"/>
      <c r="AM38" s="444"/>
      <c r="AN38" s="445"/>
      <c r="AO38" s="4"/>
      <c r="AP38" s="4"/>
    </row>
    <row r="39" spans="2:42" x14ac:dyDescent="0.3">
      <c r="B39" s="1"/>
      <c r="C39" s="417"/>
      <c r="D39" s="417"/>
      <c r="E39" s="417"/>
      <c r="F39" s="439"/>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1"/>
      <c r="AE39" s="442"/>
      <c r="AF39" s="446"/>
      <c r="AG39" s="446"/>
      <c r="AH39" s="446"/>
      <c r="AI39" s="446"/>
      <c r="AJ39" s="446"/>
      <c r="AK39" s="446"/>
      <c r="AL39" s="446"/>
      <c r="AM39" s="446"/>
      <c r="AN39" s="447"/>
      <c r="AO39" s="4"/>
      <c r="AP39" s="4"/>
    </row>
    <row r="40" spans="2:42" x14ac:dyDescent="0.3">
      <c r="B40" s="1"/>
      <c r="C40" s="366">
        <v>2</v>
      </c>
      <c r="D40" s="366"/>
      <c r="E40" s="366"/>
      <c r="F40" s="435" t="s">
        <v>77</v>
      </c>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7"/>
      <c r="AE40" s="438"/>
      <c r="AF40" s="443" t="s">
        <v>50</v>
      </c>
      <c r="AG40" s="444"/>
      <c r="AH40" s="444"/>
      <c r="AI40" s="444"/>
      <c r="AJ40" s="444"/>
      <c r="AK40" s="444"/>
      <c r="AL40" s="444"/>
      <c r="AM40" s="444"/>
      <c r="AN40" s="445"/>
      <c r="AO40" s="4"/>
      <c r="AP40" s="4"/>
    </row>
    <row r="41" spans="2:42" x14ac:dyDescent="0.3">
      <c r="B41" s="1"/>
      <c r="C41" s="417"/>
      <c r="D41" s="417"/>
      <c r="E41" s="417"/>
      <c r="F41" s="439"/>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1"/>
      <c r="AE41" s="442"/>
      <c r="AF41" s="446"/>
      <c r="AG41" s="446"/>
      <c r="AH41" s="446"/>
      <c r="AI41" s="446"/>
      <c r="AJ41" s="446"/>
      <c r="AK41" s="446"/>
      <c r="AL41" s="446"/>
      <c r="AM41" s="446"/>
      <c r="AN41" s="44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48" t="s">
        <v>52</v>
      </c>
      <c r="Q43" s="388"/>
      <c r="R43" s="388"/>
      <c r="S43" s="388"/>
      <c r="T43" s="388"/>
      <c r="U43" s="388"/>
      <c r="V43" s="388"/>
      <c r="W43" s="388"/>
      <c r="X43" s="388"/>
      <c r="Y43" s="388"/>
      <c r="Z43" s="38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49" t="str">
        <f>IF(ISBLANK(U11)," ", PROPER(U11))</f>
        <v xml:space="preserve"> </v>
      </c>
      <c r="E45" s="449"/>
      <c r="F45" s="449"/>
      <c r="G45" s="449"/>
      <c r="H45" s="449"/>
      <c r="I45" s="449"/>
      <c r="J45" s="449"/>
      <c r="K45" s="449"/>
      <c r="L45" s="449"/>
      <c r="M45" s="449"/>
      <c r="N45" s="449"/>
      <c r="O45" s="449"/>
      <c r="P45" s="449"/>
      <c r="Q45" s="449"/>
      <c r="R45" s="449"/>
      <c r="S45" s="449"/>
      <c r="T45" s="449"/>
      <c r="U45" s="449"/>
      <c r="V45" s="431" t="s">
        <v>54</v>
      </c>
      <c r="W45" s="431"/>
      <c r="X45" s="431"/>
      <c r="Y45" s="431"/>
      <c r="Z45" s="431"/>
      <c r="AA45" s="431"/>
      <c r="AB45" s="431"/>
      <c r="AC45" s="431"/>
      <c r="AD45" s="431"/>
      <c r="AE45" s="431"/>
      <c r="AF45" s="431"/>
      <c r="AG45" s="431"/>
      <c r="AH45" s="431"/>
      <c r="AI45" s="431"/>
      <c r="AJ45" s="431"/>
      <c r="AK45" s="431"/>
      <c r="AL45" s="431"/>
      <c r="AM45" s="431"/>
      <c r="AN45" s="431"/>
      <c r="AO45" s="8"/>
      <c r="AP45" s="8"/>
    </row>
    <row r="46" spans="2:42" x14ac:dyDescent="0.3">
      <c r="B46" s="1"/>
      <c r="C46" s="431" t="s">
        <v>55</v>
      </c>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1" t="s">
        <v>11</v>
      </c>
      <c r="D49" s="431"/>
      <c r="E49" s="431"/>
      <c r="F49" s="431"/>
      <c r="G49" s="1" t="s">
        <v>5</v>
      </c>
      <c r="H49" s="449" t="str">
        <f>IF(ISBLANK('Basic Information'!H37)," ",PROPER('Basic Information'!H37))</f>
        <v xml:space="preserve"> </v>
      </c>
      <c r="I49" s="449"/>
      <c r="J49" s="449"/>
      <c r="K49" s="449"/>
      <c r="L49" s="449"/>
      <c r="M49" s="449"/>
      <c r="N49" s="449"/>
      <c r="O49" s="449"/>
      <c r="P49" s="449"/>
      <c r="Q49" s="450"/>
      <c r="R49" s="450"/>
      <c r="S49" s="450"/>
      <c r="T49" s="450"/>
      <c r="U49" s="450"/>
      <c r="V49" s="1"/>
      <c r="W49" s="1"/>
      <c r="X49" s="1"/>
      <c r="Y49" s="1"/>
      <c r="Z49" s="1"/>
      <c r="AA49" s="1"/>
      <c r="AB49" s="1"/>
      <c r="AC49" s="388"/>
      <c r="AD49" s="388"/>
      <c r="AE49" s="388"/>
      <c r="AF49" s="388"/>
      <c r="AG49" s="388"/>
      <c r="AH49" s="388"/>
      <c r="AI49" s="388"/>
      <c r="AJ49" s="388"/>
      <c r="AK49" s="388"/>
      <c r="AL49" s="388"/>
      <c r="AM49" s="388"/>
      <c r="AN49" s="388"/>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2"/>
      <c r="AD50" s="432"/>
      <c r="AE50" s="432"/>
      <c r="AF50" s="432"/>
      <c r="AG50" s="432"/>
      <c r="AH50" s="432"/>
      <c r="AI50" s="432"/>
      <c r="AJ50" s="432"/>
      <c r="AK50" s="432"/>
      <c r="AL50" s="432"/>
      <c r="AM50" s="432"/>
      <c r="AN50" s="432"/>
      <c r="AO50" s="62"/>
      <c r="AP50" s="62"/>
    </row>
    <row r="51" spans="2:49" x14ac:dyDescent="0.3">
      <c r="B51" s="1"/>
      <c r="C51" s="431" t="s">
        <v>12</v>
      </c>
      <c r="D51" s="431"/>
      <c r="E51" s="431"/>
      <c r="F51" s="431"/>
      <c r="G51" s="1" t="s">
        <v>5</v>
      </c>
      <c r="H51" s="433" t="str">
        <f>IF(ISBLANK('Basic Information'!H39)," ",'Basic Information'!H39)</f>
        <v xml:space="preserve"> </v>
      </c>
      <c r="I51" s="433"/>
      <c r="J51" s="433"/>
      <c r="K51" s="433"/>
      <c r="L51" s="433"/>
      <c r="M51" s="433"/>
      <c r="N51" s="433"/>
      <c r="O51" s="433"/>
      <c r="P51" s="433"/>
      <c r="Q51" s="1"/>
      <c r="R51" s="1"/>
      <c r="S51" s="1"/>
      <c r="T51" s="1"/>
      <c r="U51" s="1"/>
      <c r="V51" s="1"/>
      <c r="W51" s="1"/>
      <c r="X51" s="1"/>
      <c r="Y51" s="1"/>
      <c r="Z51" s="1"/>
      <c r="AA51" s="1"/>
      <c r="AB51" s="1"/>
      <c r="AC51" s="434" t="s">
        <v>51</v>
      </c>
      <c r="AD51" s="434"/>
      <c r="AE51" s="434"/>
      <c r="AF51" s="434"/>
      <c r="AG51" s="434"/>
      <c r="AH51" s="434"/>
      <c r="AI51" s="434"/>
      <c r="AJ51" s="434"/>
      <c r="AK51" s="434"/>
      <c r="AL51" s="434"/>
      <c r="AM51" s="434"/>
      <c r="AN51" s="43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29" t="s">
        <v>56</v>
      </c>
      <c r="S57" s="430"/>
      <c r="T57" s="430"/>
      <c r="U57" s="430"/>
      <c r="V57" s="430"/>
      <c r="W57" s="430"/>
      <c r="X57" s="430"/>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88" t="s">
        <v>57</v>
      </c>
      <c r="P58" s="388"/>
      <c r="Q58" s="388"/>
      <c r="R58" s="388"/>
      <c r="S58" s="388"/>
      <c r="T58" s="388"/>
      <c r="U58" s="388"/>
      <c r="V58" s="388"/>
      <c r="W58" s="388"/>
      <c r="X58" s="388"/>
      <c r="Y58" s="388"/>
      <c r="Z58" s="388"/>
      <c r="AA58" s="388"/>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7" t="s">
        <v>58</v>
      </c>
      <c r="N60" s="134"/>
      <c r="O60" s="134"/>
      <c r="P60" s="134"/>
      <c r="Q60" s="134"/>
      <c r="R60" s="134"/>
      <c r="S60" s="134"/>
      <c r="T60" s="134"/>
      <c r="U60" s="134"/>
      <c r="V60" s="134"/>
      <c r="W60" s="134"/>
      <c r="X60" s="134"/>
      <c r="Y60" s="134"/>
      <c r="Z60" s="134"/>
      <c r="AA60" s="134"/>
      <c r="AB60" s="134"/>
      <c r="AC60" s="134"/>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66">
        <v>1</v>
      </c>
      <c r="D62" s="418" t="s">
        <v>59</v>
      </c>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286"/>
      <c r="AD62" s="286"/>
      <c r="AE62" s="287"/>
      <c r="AF62" s="378">
        <f>IF(AND(AF27&lt;&gt;0,AF27&lt;=AP27,'Income Tax Proforma - New Schem'!AV62&lt;&gt;0,('Income Tax Proforma - New Schem'!AV62) &gt;=AF64),(('Income Tax Proforma - New Schem'!AV62) -AF64),0)</f>
        <v>0</v>
      </c>
      <c r="AG62" s="379"/>
      <c r="AH62" s="379"/>
      <c r="AI62" s="379"/>
      <c r="AJ62" s="379"/>
      <c r="AK62" s="379"/>
      <c r="AL62" s="379"/>
      <c r="AM62" s="379"/>
      <c r="AN62" s="380"/>
      <c r="AO62" s="1"/>
      <c r="AP62" s="1"/>
      <c r="AQ62" s="152" t="str">
        <f>IF(AND(AF27&lt;&gt;0,'Income Tax Proforma - New Schem'!AV62=0),"Since your income is not taxable for this tax year, Form 10E is not required.","")</f>
        <v/>
      </c>
      <c r="AR62" s="152"/>
      <c r="AS62" s="152"/>
      <c r="AT62" s="152"/>
      <c r="AU62" s="152"/>
      <c r="AV62" s="152"/>
      <c r="AW62" s="152"/>
    </row>
    <row r="63" spans="2:49" ht="12" customHeight="1" x14ac:dyDescent="0.3">
      <c r="B63" s="1"/>
      <c r="C63" s="417"/>
      <c r="D63" s="420"/>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2"/>
      <c r="AF63" s="384"/>
      <c r="AG63" s="385"/>
      <c r="AH63" s="385"/>
      <c r="AI63" s="385"/>
      <c r="AJ63" s="385"/>
      <c r="AK63" s="385"/>
      <c r="AL63" s="385"/>
      <c r="AM63" s="385"/>
      <c r="AN63" s="386"/>
      <c r="AO63" s="1"/>
      <c r="AP63" s="1"/>
      <c r="AQ63" s="152"/>
      <c r="AR63" s="152"/>
      <c r="AS63" s="152"/>
      <c r="AT63" s="152"/>
      <c r="AU63" s="152"/>
      <c r="AV63" s="152"/>
      <c r="AW63" s="152"/>
    </row>
    <row r="64" spans="2:49" ht="10.5" customHeight="1" x14ac:dyDescent="0.3">
      <c r="B64" s="1"/>
      <c r="C64" s="366">
        <v>2</v>
      </c>
      <c r="D64" s="418" t="s">
        <v>60</v>
      </c>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286"/>
      <c r="AD64" s="286"/>
      <c r="AE64" s="287"/>
      <c r="AF64" s="378">
        <f>IF(AND(AF27&lt;=AP27,'Income Tax Proforma - New Schem'!AV62&lt;&gt;0),AF27,0)</f>
        <v>0</v>
      </c>
      <c r="AG64" s="379"/>
      <c r="AH64" s="379"/>
      <c r="AI64" s="379"/>
      <c r="AJ64" s="379"/>
      <c r="AK64" s="379"/>
      <c r="AL64" s="379"/>
      <c r="AM64" s="379"/>
      <c r="AN64" s="380"/>
      <c r="AO64" s="1"/>
      <c r="AP64" s="1"/>
    </row>
    <row r="65" spans="2:49" ht="12.75" customHeight="1" x14ac:dyDescent="0.3">
      <c r="B65" s="1"/>
      <c r="C65" s="417"/>
      <c r="D65" s="420"/>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2"/>
      <c r="AF65" s="384"/>
      <c r="AG65" s="385"/>
      <c r="AH65" s="385"/>
      <c r="AI65" s="385"/>
      <c r="AJ65" s="385"/>
      <c r="AK65" s="385"/>
      <c r="AL65" s="385"/>
      <c r="AM65" s="385"/>
      <c r="AN65" s="386"/>
      <c r="AO65" s="1"/>
      <c r="AP65" s="1"/>
    </row>
    <row r="66" spans="2:49" ht="15.75" customHeight="1" x14ac:dyDescent="0.3">
      <c r="B66" s="1"/>
      <c r="C66" s="366">
        <v>3</v>
      </c>
      <c r="D66" s="369" t="s">
        <v>61</v>
      </c>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1"/>
      <c r="AD66" s="371"/>
      <c r="AE66" s="372"/>
      <c r="AF66" s="378">
        <f>SUM(AF62,AF64)</f>
        <v>0</v>
      </c>
      <c r="AG66" s="379"/>
      <c r="AH66" s="379"/>
      <c r="AI66" s="379"/>
      <c r="AJ66" s="379"/>
      <c r="AK66" s="379"/>
      <c r="AL66" s="379"/>
      <c r="AM66" s="379"/>
      <c r="AN66" s="380"/>
      <c r="AO66" s="1"/>
      <c r="AP66" s="1"/>
    </row>
    <row r="67" spans="2:49" x14ac:dyDescent="0.3">
      <c r="B67" s="1"/>
      <c r="C67" s="367"/>
      <c r="D67" s="373"/>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374"/>
      <c r="AF67" s="381"/>
      <c r="AG67" s="382"/>
      <c r="AH67" s="382"/>
      <c r="AI67" s="382"/>
      <c r="AJ67" s="382"/>
      <c r="AK67" s="382"/>
      <c r="AL67" s="382"/>
      <c r="AM67" s="382"/>
      <c r="AN67" s="383"/>
      <c r="AO67" s="1"/>
      <c r="AP67" s="1"/>
    </row>
    <row r="68" spans="2:49" ht="12" customHeight="1" x14ac:dyDescent="0.3">
      <c r="B68" s="1"/>
      <c r="C68" s="368"/>
      <c r="D68" s="375"/>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7"/>
      <c r="AF68" s="384"/>
      <c r="AG68" s="385"/>
      <c r="AH68" s="385"/>
      <c r="AI68" s="385"/>
      <c r="AJ68" s="385"/>
      <c r="AK68" s="385"/>
      <c r="AL68" s="385"/>
      <c r="AM68" s="385"/>
      <c r="AN68" s="386"/>
      <c r="AO68" s="1"/>
      <c r="AP68" s="1"/>
    </row>
    <row r="69" spans="2:49" ht="11.25" customHeight="1" x14ac:dyDescent="0.3">
      <c r="B69" s="1"/>
      <c r="C69" s="366">
        <v>4</v>
      </c>
      <c r="D69" s="418" t="s">
        <v>62</v>
      </c>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286"/>
      <c r="AD69" s="286"/>
      <c r="AE69" s="287"/>
      <c r="AF69" s="378">
        <f>SUM(AQ70,AR70)</f>
        <v>0</v>
      </c>
      <c r="AG69" s="379"/>
      <c r="AH69" s="379"/>
      <c r="AI69" s="379"/>
      <c r="AJ69" s="379"/>
      <c r="AK69" s="379"/>
      <c r="AL69" s="379"/>
      <c r="AM69" s="379"/>
      <c r="AN69" s="380"/>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417"/>
      <c r="D70" s="420"/>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2"/>
      <c r="AF70" s="384"/>
      <c r="AG70" s="385"/>
      <c r="AH70" s="385"/>
      <c r="AI70" s="385"/>
      <c r="AJ70" s="385"/>
      <c r="AK70" s="385"/>
      <c r="AL70" s="385"/>
      <c r="AM70" s="385"/>
      <c r="AN70" s="386"/>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66">
        <v>5</v>
      </c>
      <c r="D71" s="418" t="s">
        <v>63</v>
      </c>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286"/>
      <c r="AD71" s="286"/>
      <c r="AE71" s="287"/>
      <c r="AF71" s="378">
        <f>SUM(AQ72,AR72)</f>
        <v>0</v>
      </c>
      <c r="AG71" s="379"/>
      <c r="AH71" s="379"/>
      <c r="AI71" s="379"/>
      <c r="AJ71" s="379"/>
      <c r="AK71" s="379"/>
      <c r="AL71" s="379"/>
      <c r="AM71" s="379"/>
      <c r="AN71" s="380"/>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417"/>
      <c r="D72" s="420"/>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2"/>
      <c r="AF72" s="384"/>
      <c r="AG72" s="385"/>
      <c r="AH72" s="385"/>
      <c r="AI72" s="385"/>
      <c r="AJ72" s="385"/>
      <c r="AK72" s="385"/>
      <c r="AL72" s="385"/>
      <c r="AM72" s="385"/>
      <c r="AN72" s="386"/>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66">
        <v>6</v>
      </c>
      <c r="D73" s="369" t="s">
        <v>64</v>
      </c>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1"/>
      <c r="AD73" s="371"/>
      <c r="AE73" s="372"/>
      <c r="AF73" s="378">
        <f>ABS(AF69-AF71)</f>
        <v>0</v>
      </c>
      <c r="AG73" s="379"/>
      <c r="AH73" s="379"/>
      <c r="AI73" s="379"/>
      <c r="AJ73" s="379"/>
      <c r="AK73" s="379"/>
      <c r="AL73" s="379"/>
      <c r="AM73" s="379"/>
      <c r="AN73" s="380"/>
      <c r="AO73" s="1"/>
      <c r="AP73" s="1"/>
    </row>
    <row r="74" spans="2:49" x14ac:dyDescent="0.3">
      <c r="B74" s="1"/>
      <c r="C74" s="367"/>
      <c r="D74" s="373"/>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374"/>
      <c r="AF74" s="381"/>
      <c r="AG74" s="382"/>
      <c r="AH74" s="382"/>
      <c r="AI74" s="382"/>
      <c r="AJ74" s="382"/>
      <c r="AK74" s="382"/>
      <c r="AL74" s="382"/>
      <c r="AM74" s="382"/>
      <c r="AN74" s="383"/>
      <c r="AO74" s="1"/>
      <c r="AP74" s="1"/>
    </row>
    <row r="75" spans="2:49" ht="11.25" customHeight="1" x14ac:dyDescent="0.3">
      <c r="B75" s="1"/>
      <c r="C75" s="368"/>
      <c r="D75" s="375"/>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7"/>
      <c r="AF75" s="384"/>
      <c r="AG75" s="385"/>
      <c r="AH75" s="385"/>
      <c r="AI75" s="385"/>
      <c r="AJ75" s="385"/>
      <c r="AK75" s="385"/>
      <c r="AL75" s="385"/>
      <c r="AM75" s="385"/>
      <c r="AN75" s="386"/>
      <c r="AO75" s="1"/>
      <c r="AP75" s="1"/>
    </row>
    <row r="76" spans="2:49" ht="9" customHeight="1" x14ac:dyDescent="0.3">
      <c r="B76" s="1"/>
      <c r="C76" s="366">
        <v>7</v>
      </c>
      <c r="D76" s="369" t="s">
        <v>65</v>
      </c>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1"/>
      <c r="AD76" s="371"/>
      <c r="AE76" s="372"/>
      <c r="AF76" s="378">
        <f>AK102</f>
        <v>0</v>
      </c>
      <c r="AG76" s="379"/>
      <c r="AH76" s="379"/>
      <c r="AI76" s="379"/>
      <c r="AJ76" s="379"/>
      <c r="AK76" s="379"/>
      <c r="AL76" s="379"/>
      <c r="AM76" s="379"/>
      <c r="AN76" s="380"/>
      <c r="AO76" s="1"/>
      <c r="AP76" s="1"/>
    </row>
    <row r="77" spans="2:49" x14ac:dyDescent="0.3">
      <c r="B77" s="1"/>
      <c r="C77" s="367"/>
      <c r="D77" s="373"/>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374"/>
      <c r="AF77" s="381"/>
      <c r="AG77" s="382"/>
      <c r="AH77" s="382"/>
      <c r="AI77" s="382"/>
      <c r="AJ77" s="382"/>
      <c r="AK77" s="382"/>
      <c r="AL77" s="382"/>
      <c r="AM77" s="382"/>
      <c r="AN77" s="383"/>
      <c r="AO77" s="1"/>
      <c r="AP77" s="1"/>
    </row>
    <row r="78" spans="2:49" ht="12" customHeight="1" x14ac:dyDescent="0.3">
      <c r="B78" s="1"/>
      <c r="C78" s="368"/>
      <c r="D78" s="375"/>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7"/>
      <c r="AF78" s="384"/>
      <c r="AG78" s="385"/>
      <c r="AH78" s="385"/>
      <c r="AI78" s="385"/>
      <c r="AJ78" s="385"/>
      <c r="AK78" s="385"/>
      <c r="AL78" s="385"/>
      <c r="AM78" s="385"/>
      <c r="AN78" s="386"/>
      <c r="AO78" s="1"/>
      <c r="AP78" s="1"/>
    </row>
    <row r="79" spans="2:49" x14ac:dyDescent="0.3">
      <c r="B79" s="1"/>
      <c r="C79" s="366">
        <v>8</v>
      </c>
      <c r="D79" s="369" t="s">
        <v>233</v>
      </c>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1"/>
      <c r="AD79" s="371"/>
      <c r="AE79" s="372"/>
      <c r="AF79" s="378">
        <f>IF(AND(AF27=M102,AF73&gt;AF76),ABS(AF73-AF76),0)</f>
        <v>0</v>
      </c>
      <c r="AG79" s="379"/>
      <c r="AH79" s="379"/>
      <c r="AI79" s="379"/>
      <c r="AJ79" s="379"/>
      <c r="AK79" s="379"/>
      <c r="AL79" s="379"/>
      <c r="AM79" s="379"/>
      <c r="AN79" s="380"/>
      <c r="AO79" s="1"/>
      <c r="AP79" s="1"/>
      <c r="AQ79" s="49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96"/>
      <c r="AS79" s="496"/>
      <c r="AT79" s="496"/>
      <c r="AU79" s="496"/>
      <c r="AV79" s="496"/>
      <c r="AW79" s="153"/>
    </row>
    <row r="80" spans="2:49" x14ac:dyDescent="0.3">
      <c r="B80" s="1"/>
      <c r="C80" s="367"/>
      <c r="D80" s="373"/>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374"/>
      <c r="AF80" s="381"/>
      <c r="AG80" s="382"/>
      <c r="AH80" s="382"/>
      <c r="AI80" s="382"/>
      <c r="AJ80" s="382"/>
      <c r="AK80" s="382"/>
      <c r="AL80" s="382"/>
      <c r="AM80" s="382"/>
      <c r="AN80" s="383"/>
      <c r="AO80" s="39"/>
      <c r="AP80" s="40"/>
      <c r="AQ80" s="496"/>
      <c r="AR80" s="496"/>
      <c r="AS80" s="496"/>
      <c r="AT80" s="496"/>
      <c r="AU80" s="496"/>
      <c r="AV80" s="496"/>
      <c r="AW80" s="153"/>
    </row>
    <row r="81" spans="2:53" x14ac:dyDescent="0.3">
      <c r="B81" s="1"/>
      <c r="C81" s="368"/>
      <c r="D81" s="375"/>
      <c r="E81" s="376"/>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7"/>
      <c r="AF81" s="384"/>
      <c r="AG81" s="385"/>
      <c r="AH81" s="385"/>
      <c r="AI81" s="385"/>
      <c r="AJ81" s="385"/>
      <c r="AK81" s="385"/>
      <c r="AL81" s="385"/>
      <c r="AM81" s="385"/>
      <c r="AN81" s="386"/>
      <c r="AO81" s="41"/>
      <c r="AP81" s="40"/>
      <c r="AQ81" s="496"/>
      <c r="AR81" s="496"/>
      <c r="AS81" s="496"/>
      <c r="AT81" s="496"/>
      <c r="AU81" s="496"/>
      <c r="AV81" s="496"/>
      <c r="AW81" s="153"/>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7" t="s">
        <v>66</v>
      </c>
      <c r="R83" s="387"/>
      <c r="S83" s="387"/>
      <c r="T83" s="387"/>
      <c r="U83" s="387"/>
      <c r="V83" s="387"/>
      <c r="W83" s="387"/>
      <c r="X83" s="387"/>
      <c r="Y83" s="1"/>
      <c r="Z83" s="78" t="s">
        <v>128</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88" t="s">
        <v>67</v>
      </c>
      <c r="P84" s="388"/>
      <c r="Q84" s="388"/>
      <c r="R84" s="388"/>
      <c r="S84" s="388"/>
      <c r="T84" s="388"/>
      <c r="U84" s="388"/>
      <c r="V84" s="388"/>
      <c r="W84" s="388"/>
      <c r="X84" s="388"/>
      <c r="Y84" s="388"/>
      <c r="Z84" s="388"/>
      <c r="AA84" s="388"/>
      <c r="AB84" s="1"/>
      <c r="AC84" s="1"/>
      <c r="AD84" s="1"/>
      <c r="AE84" s="1"/>
      <c r="AF84" s="1"/>
      <c r="AG84" s="1"/>
      <c r="AH84" s="1"/>
      <c r="AI84" s="1"/>
      <c r="AJ84" s="1"/>
      <c r="AK84" s="1"/>
      <c r="AL84" s="1"/>
      <c r="AM84" s="1"/>
      <c r="AN84" s="1"/>
      <c r="AO84" s="1"/>
      <c r="AP84" s="1"/>
    </row>
    <row r="85" spans="2:53" ht="15" customHeight="1" x14ac:dyDescent="0.3">
      <c r="B85" s="389" t="s">
        <v>218</v>
      </c>
      <c r="C85" s="390"/>
      <c r="D85" s="390"/>
      <c r="E85" s="390"/>
      <c r="F85" s="391"/>
      <c r="G85" s="389" t="s">
        <v>68</v>
      </c>
      <c r="H85" s="398"/>
      <c r="I85" s="398"/>
      <c r="J85" s="398"/>
      <c r="K85" s="398"/>
      <c r="L85" s="399"/>
      <c r="M85" s="406" t="s">
        <v>78</v>
      </c>
      <c r="N85" s="407"/>
      <c r="O85" s="407"/>
      <c r="P85" s="407"/>
      <c r="Q85" s="407"/>
      <c r="R85" s="408"/>
      <c r="S85" s="389" t="s">
        <v>79</v>
      </c>
      <c r="T85" s="398"/>
      <c r="U85" s="398"/>
      <c r="V85" s="398"/>
      <c r="W85" s="398"/>
      <c r="X85" s="399"/>
      <c r="Y85" s="389" t="s">
        <v>69</v>
      </c>
      <c r="Z85" s="398"/>
      <c r="AA85" s="398"/>
      <c r="AB85" s="398"/>
      <c r="AC85" s="398"/>
      <c r="AD85" s="399"/>
      <c r="AE85" s="415" t="s">
        <v>70</v>
      </c>
      <c r="AF85" s="398"/>
      <c r="AG85" s="398"/>
      <c r="AH85" s="398"/>
      <c r="AI85" s="398"/>
      <c r="AJ85" s="399"/>
      <c r="AK85" s="416" t="s">
        <v>71</v>
      </c>
      <c r="AL85" s="398"/>
      <c r="AM85" s="398"/>
      <c r="AN85" s="398"/>
      <c r="AO85" s="398"/>
      <c r="AP85" s="399"/>
    </row>
    <row r="86" spans="2:53" x14ac:dyDescent="0.3">
      <c r="B86" s="392"/>
      <c r="C86" s="393"/>
      <c r="D86" s="393"/>
      <c r="E86" s="393"/>
      <c r="F86" s="394"/>
      <c r="G86" s="400"/>
      <c r="H86" s="401"/>
      <c r="I86" s="401"/>
      <c r="J86" s="401"/>
      <c r="K86" s="401"/>
      <c r="L86" s="402"/>
      <c r="M86" s="409"/>
      <c r="N86" s="410"/>
      <c r="O86" s="410"/>
      <c r="P86" s="410"/>
      <c r="Q86" s="410"/>
      <c r="R86" s="411"/>
      <c r="S86" s="400"/>
      <c r="T86" s="401"/>
      <c r="U86" s="401"/>
      <c r="V86" s="401"/>
      <c r="W86" s="401"/>
      <c r="X86" s="402"/>
      <c r="Y86" s="400"/>
      <c r="Z86" s="401"/>
      <c r="AA86" s="401"/>
      <c r="AB86" s="401"/>
      <c r="AC86" s="401"/>
      <c r="AD86" s="402"/>
      <c r="AE86" s="400"/>
      <c r="AF86" s="401"/>
      <c r="AG86" s="401"/>
      <c r="AH86" s="401"/>
      <c r="AI86" s="401"/>
      <c r="AJ86" s="402"/>
      <c r="AK86" s="400"/>
      <c r="AL86" s="401"/>
      <c r="AM86" s="401"/>
      <c r="AN86" s="401"/>
      <c r="AO86" s="401"/>
      <c r="AP86" s="402"/>
    </row>
    <row r="87" spans="2:53" x14ac:dyDescent="0.3">
      <c r="B87" s="392"/>
      <c r="C87" s="393"/>
      <c r="D87" s="393"/>
      <c r="E87" s="393"/>
      <c r="F87" s="394"/>
      <c r="G87" s="400"/>
      <c r="H87" s="401"/>
      <c r="I87" s="401"/>
      <c r="J87" s="401"/>
      <c r="K87" s="401"/>
      <c r="L87" s="402"/>
      <c r="M87" s="409"/>
      <c r="N87" s="410"/>
      <c r="O87" s="410"/>
      <c r="P87" s="410"/>
      <c r="Q87" s="410"/>
      <c r="R87" s="411"/>
      <c r="S87" s="400"/>
      <c r="T87" s="401"/>
      <c r="U87" s="401"/>
      <c r="V87" s="401"/>
      <c r="W87" s="401"/>
      <c r="X87" s="402"/>
      <c r="Y87" s="400"/>
      <c r="Z87" s="401"/>
      <c r="AA87" s="401"/>
      <c r="AB87" s="401"/>
      <c r="AC87" s="401"/>
      <c r="AD87" s="402"/>
      <c r="AE87" s="400"/>
      <c r="AF87" s="401"/>
      <c r="AG87" s="401"/>
      <c r="AH87" s="401"/>
      <c r="AI87" s="401"/>
      <c r="AJ87" s="402"/>
      <c r="AK87" s="400"/>
      <c r="AL87" s="401"/>
      <c r="AM87" s="401"/>
      <c r="AN87" s="401"/>
      <c r="AO87" s="401"/>
      <c r="AP87" s="402"/>
    </row>
    <row r="88" spans="2:53" x14ac:dyDescent="0.3">
      <c r="B88" s="392"/>
      <c r="C88" s="393"/>
      <c r="D88" s="393"/>
      <c r="E88" s="393"/>
      <c r="F88" s="394"/>
      <c r="G88" s="400"/>
      <c r="H88" s="401"/>
      <c r="I88" s="401"/>
      <c r="J88" s="401"/>
      <c r="K88" s="401"/>
      <c r="L88" s="402"/>
      <c r="M88" s="409"/>
      <c r="N88" s="410"/>
      <c r="O88" s="410"/>
      <c r="P88" s="410"/>
      <c r="Q88" s="410"/>
      <c r="R88" s="411"/>
      <c r="S88" s="400"/>
      <c r="T88" s="401"/>
      <c r="U88" s="401"/>
      <c r="V88" s="401"/>
      <c r="W88" s="401"/>
      <c r="X88" s="402"/>
      <c r="Y88" s="400"/>
      <c r="Z88" s="401"/>
      <c r="AA88" s="401"/>
      <c r="AB88" s="401"/>
      <c r="AC88" s="401"/>
      <c r="AD88" s="402"/>
      <c r="AE88" s="400"/>
      <c r="AF88" s="401"/>
      <c r="AG88" s="401"/>
      <c r="AH88" s="401"/>
      <c r="AI88" s="401"/>
      <c r="AJ88" s="402"/>
      <c r="AK88" s="400"/>
      <c r="AL88" s="401"/>
      <c r="AM88" s="401"/>
      <c r="AN88" s="401"/>
      <c r="AO88" s="401"/>
      <c r="AP88" s="402"/>
    </row>
    <row r="89" spans="2:53" x14ac:dyDescent="0.3">
      <c r="B89" s="392"/>
      <c r="C89" s="393"/>
      <c r="D89" s="393"/>
      <c r="E89" s="393"/>
      <c r="F89" s="394"/>
      <c r="G89" s="400"/>
      <c r="H89" s="401"/>
      <c r="I89" s="401"/>
      <c r="J89" s="401"/>
      <c r="K89" s="401"/>
      <c r="L89" s="402"/>
      <c r="M89" s="409"/>
      <c r="N89" s="410"/>
      <c r="O89" s="410"/>
      <c r="P89" s="410"/>
      <c r="Q89" s="410"/>
      <c r="R89" s="411"/>
      <c r="S89" s="400"/>
      <c r="T89" s="401"/>
      <c r="U89" s="401"/>
      <c r="V89" s="401"/>
      <c r="W89" s="401"/>
      <c r="X89" s="402"/>
      <c r="Y89" s="400"/>
      <c r="Z89" s="401"/>
      <c r="AA89" s="401"/>
      <c r="AB89" s="401"/>
      <c r="AC89" s="401"/>
      <c r="AD89" s="402"/>
      <c r="AE89" s="400"/>
      <c r="AF89" s="401"/>
      <c r="AG89" s="401"/>
      <c r="AH89" s="401"/>
      <c r="AI89" s="401"/>
      <c r="AJ89" s="402"/>
      <c r="AK89" s="400"/>
      <c r="AL89" s="401"/>
      <c r="AM89" s="401"/>
      <c r="AN89" s="401"/>
      <c r="AO89" s="401"/>
      <c r="AP89" s="402"/>
    </row>
    <row r="90" spans="2:53" ht="105" customHeight="1" x14ac:dyDescent="0.3">
      <c r="B90" s="395"/>
      <c r="C90" s="396"/>
      <c r="D90" s="396"/>
      <c r="E90" s="396"/>
      <c r="F90" s="397"/>
      <c r="G90" s="403"/>
      <c r="H90" s="404"/>
      <c r="I90" s="404"/>
      <c r="J90" s="404"/>
      <c r="K90" s="404"/>
      <c r="L90" s="405"/>
      <c r="M90" s="412"/>
      <c r="N90" s="413"/>
      <c r="O90" s="413"/>
      <c r="P90" s="413"/>
      <c r="Q90" s="413"/>
      <c r="R90" s="414"/>
      <c r="S90" s="403"/>
      <c r="T90" s="404"/>
      <c r="U90" s="404"/>
      <c r="V90" s="404"/>
      <c r="W90" s="404"/>
      <c r="X90" s="405"/>
      <c r="Y90" s="403"/>
      <c r="Z90" s="404"/>
      <c r="AA90" s="404"/>
      <c r="AB90" s="404"/>
      <c r="AC90" s="404"/>
      <c r="AD90" s="405"/>
      <c r="AE90" s="403"/>
      <c r="AF90" s="404"/>
      <c r="AG90" s="404"/>
      <c r="AH90" s="404"/>
      <c r="AI90" s="404"/>
      <c r="AJ90" s="405"/>
      <c r="AK90" s="403"/>
      <c r="AL90" s="404"/>
      <c r="AM90" s="404"/>
      <c r="AN90" s="404"/>
      <c r="AO90" s="404"/>
      <c r="AP90" s="405"/>
    </row>
    <row r="91" spans="2:53" x14ac:dyDescent="0.3">
      <c r="B91" s="362">
        <v>1</v>
      </c>
      <c r="C91" s="273"/>
      <c r="D91" s="273"/>
      <c r="E91" s="273"/>
      <c r="F91" s="274"/>
      <c r="G91" s="362">
        <v>2</v>
      </c>
      <c r="H91" s="273"/>
      <c r="I91" s="273"/>
      <c r="J91" s="273"/>
      <c r="K91" s="273"/>
      <c r="L91" s="274"/>
      <c r="M91" s="362">
        <v>3</v>
      </c>
      <c r="N91" s="273"/>
      <c r="O91" s="273"/>
      <c r="P91" s="273"/>
      <c r="Q91" s="273"/>
      <c r="R91" s="274"/>
      <c r="S91" s="362">
        <v>4</v>
      </c>
      <c r="T91" s="363"/>
      <c r="U91" s="363"/>
      <c r="V91" s="363"/>
      <c r="W91" s="363"/>
      <c r="X91" s="364"/>
      <c r="Y91" s="362">
        <v>5</v>
      </c>
      <c r="Z91" s="273"/>
      <c r="AA91" s="273"/>
      <c r="AB91" s="273"/>
      <c r="AC91" s="273"/>
      <c r="AD91" s="274"/>
      <c r="AE91" s="362">
        <v>6</v>
      </c>
      <c r="AF91" s="363"/>
      <c r="AG91" s="363"/>
      <c r="AH91" s="363"/>
      <c r="AI91" s="363"/>
      <c r="AJ91" s="274"/>
      <c r="AK91" s="365">
        <v>7</v>
      </c>
      <c r="AL91" s="273"/>
      <c r="AM91" s="273"/>
      <c r="AN91" s="273"/>
      <c r="AO91" s="273"/>
      <c r="AP91" s="274"/>
    </row>
    <row r="92" spans="2:53" x14ac:dyDescent="0.3">
      <c r="B92" s="551" t="str">
        <f>IF(ISBLANK('Form 10E - Old Scheme'!B92),"",'Form 10E - Old Scheme'!B92)</f>
        <v/>
      </c>
      <c r="C92" s="552"/>
      <c r="D92" s="552"/>
      <c r="E92" s="552"/>
      <c r="F92" s="553"/>
      <c r="G92" s="349">
        <f>IF(ISNUMBER('Form 10E - Old Scheme'!G92),'Form 10E - Old Scheme'!G92,0)</f>
        <v>0</v>
      </c>
      <c r="H92" s="350"/>
      <c r="I92" s="350"/>
      <c r="J92" s="350"/>
      <c r="K92" s="350"/>
      <c r="L92" s="351"/>
      <c r="M92" s="349">
        <f>IF(ISNUMBER('Form 10E - Old Scheme'!M92),'Form 10E - Old Scheme'!M92,0)</f>
        <v>0</v>
      </c>
      <c r="N92" s="350"/>
      <c r="O92" s="350"/>
      <c r="P92" s="350"/>
      <c r="Q92" s="350"/>
      <c r="R92" s="351"/>
      <c r="S92" s="349">
        <f>SUM(G92,M92)</f>
        <v>0</v>
      </c>
      <c r="T92" s="350"/>
      <c r="U92" s="350"/>
      <c r="V92" s="350"/>
      <c r="W92" s="350"/>
      <c r="X92" s="351"/>
      <c r="Y92" s="349">
        <f>MROUND(SUM(AV92,AW92),10)</f>
        <v>0</v>
      </c>
      <c r="Z92" s="350"/>
      <c r="AA92" s="350"/>
      <c r="AB92" s="350"/>
      <c r="AC92" s="350"/>
      <c r="AD92" s="351"/>
      <c r="AE92" s="349">
        <f>SUM(AZ92,BA92)</f>
        <v>0</v>
      </c>
      <c r="AF92" s="350"/>
      <c r="AG92" s="350"/>
      <c r="AH92" s="350"/>
      <c r="AI92" s="350"/>
      <c r="AJ92" s="352"/>
      <c r="AK92" s="353">
        <f t="shared" ref="AK92:AK101" si="0">ABS(AE92-Y92)</f>
        <v>0</v>
      </c>
      <c r="AL92" s="354"/>
      <c r="AM92" s="354"/>
      <c r="AN92" s="354"/>
      <c r="AO92" s="354"/>
      <c r="AP92" s="355"/>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Information'!$AG$31="Yes"),AND(B92="2024-2025",'Basic Information'!$AG$34="Yes")),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Information'!$AG$34="No"),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Information'!$AG$31="Yes"),AND(B92="2024-2025",'Basic Information'!$AG$34="Yes")),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Information'!$AG$34="No"),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Information'!$AG$31="Yes"),AND(B92="2024-2025",'Basic Information'!$AG$34="Yes")),IF(AND(MROUND(S92,10)&lt;=500000,MROUND(S92,10)&lt;&gt;0),IF(AX92&lt;=12500, AX92,12500),0), IF(OR(AND(B92="2023-2024",'Basic Information'!$AG$31="No")),IF(AND(MROUND(S92,10)&lt;=700000,MROUND(S92,10)&lt;&gt;0),IF(AX92&lt;=25000, AX92,25000),IF(AND(MROUND(S92,10)&lt;&gt;0,(MROUND(S92,10)-700000)&lt;= AX92), AX92-(MROUND(S92,10)-700000),0)), IF(OR(AND(B92="2024-2025",'Basic Information'!$AG$34="No")),IF(AND(MROUND(S92,10)&lt;=700000,MROUND(S92,10)&lt;&gt;0),IF(AX92&lt;=20000,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51" t="str">
        <f>IF(ISBLANK('Form 10E - Old Scheme'!B93),"",'Form 10E - Old Scheme'!B93)</f>
        <v/>
      </c>
      <c r="C93" s="552"/>
      <c r="D93" s="552"/>
      <c r="E93" s="552"/>
      <c r="F93" s="553"/>
      <c r="G93" s="349">
        <f>IF(ISNUMBER('Form 10E - Old Scheme'!G93),'Form 10E - Old Scheme'!G93,0)</f>
        <v>0</v>
      </c>
      <c r="H93" s="350"/>
      <c r="I93" s="350"/>
      <c r="J93" s="350"/>
      <c r="K93" s="350"/>
      <c r="L93" s="351"/>
      <c r="M93" s="349">
        <f>IF(ISNUMBER('Form 10E - Old Scheme'!M93),'Form 10E - Old Scheme'!M93,0)</f>
        <v>0</v>
      </c>
      <c r="N93" s="350"/>
      <c r="O93" s="350"/>
      <c r="P93" s="350"/>
      <c r="Q93" s="350"/>
      <c r="R93" s="351"/>
      <c r="S93" s="349">
        <f t="shared" ref="S93:S100" si="2">SUM(G93,M93)</f>
        <v>0</v>
      </c>
      <c r="T93" s="350"/>
      <c r="U93" s="350"/>
      <c r="V93" s="350"/>
      <c r="W93" s="350"/>
      <c r="X93" s="351"/>
      <c r="Y93" s="349">
        <f t="shared" ref="Y93:Y100" si="3">MROUND(SUM(AV93,AW93),10)</f>
        <v>0</v>
      </c>
      <c r="Z93" s="350"/>
      <c r="AA93" s="350"/>
      <c r="AB93" s="350"/>
      <c r="AC93" s="350"/>
      <c r="AD93" s="351"/>
      <c r="AE93" s="349">
        <f t="shared" ref="AE93:AE100" si="4">SUM(AZ93,BA93)</f>
        <v>0</v>
      </c>
      <c r="AF93" s="350"/>
      <c r="AG93" s="350"/>
      <c r="AH93" s="350"/>
      <c r="AI93" s="350"/>
      <c r="AJ93" s="352"/>
      <c r="AK93" s="353">
        <f t="shared" si="0"/>
        <v>0</v>
      </c>
      <c r="AL93" s="354"/>
      <c r="AM93" s="354"/>
      <c r="AN93" s="354"/>
      <c r="AO93" s="354"/>
      <c r="AP93" s="355"/>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Information'!$AG$31="Yes"),AND(B93="2024-2025",'Basic Information'!$AG$34="Yes")),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Information'!$AG$34="No"),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Information'!$AG$31="Yes"),AND(B93="2024-2025",'Basic Information'!$AG$34="Yes")),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Information'!$AG$34="No"),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Information'!$AG$31="Yes"),AND(B93="2024-2025",'Basic Information'!$AG$34="Yes")),IF(AND(MROUND(S93,10)&lt;=500000,MROUND(S93,10)&lt;&gt;0),IF(AX93&lt;=12500, AX93,12500),0), IF(OR(AND(B93="2023-2024",'Basic Information'!$AG$31="No")),IF(AND(MROUND(S93,10)&lt;=700000,MROUND(S93,10)&lt;&gt;0),IF(AX93&lt;=25000, AX93,25000),IF(AND(MROUND(S93,10)&lt;&gt;0,(MROUND(S93,10)-700000)&lt;= AX93), AX93-(MROUND(S93,10)-700000),0)), IF(OR(AND(B93="2024-2025",'Basic Information'!$AG$34="No")),IF(AND(MROUND(S93,10)&lt;=700000,MROUND(S93,10)&lt;&gt;0),IF(AX93&lt;=20000,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51" t="str">
        <f>IF(ISBLANK('Form 10E - Old Scheme'!B94),"",'Form 10E - Old Scheme'!B94)</f>
        <v/>
      </c>
      <c r="C94" s="552"/>
      <c r="D94" s="552"/>
      <c r="E94" s="552"/>
      <c r="F94" s="553"/>
      <c r="G94" s="349">
        <f>IF(ISNUMBER('Form 10E - Old Scheme'!G94),'Form 10E - Old Scheme'!G94,0)</f>
        <v>0</v>
      </c>
      <c r="H94" s="350"/>
      <c r="I94" s="350"/>
      <c r="J94" s="350"/>
      <c r="K94" s="350"/>
      <c r="L94" s="351"/>
      <c r="M94" s="349">
        <f>IF(ISNUMBER('Form 10E - Old Scheme'!M94),'Form 10E - Old Scheme'!M94,0)</f>
        <v>0</v>
      </c>
      <c r="N94" s="350"/>
      <c r="O94" s="350"/>
      <c r="P94" s="350"/>
      <c r="Q94" s="350"/>
      <c r="R94" s="351"/>
      <c r="S94" s="349">
        <f t="shared" si="2"/>
        <v>0</v>
      </c>
      <c r="T94" s="350"/>
      <c r="U94" s="350"/>
      <c r="V94" s="350"/>
      <c r="W94" s="350"/>
      <c r="X94" s="351"/>
      <c r="Y94" s="349">
        <f t="shared" si="3"/>
        <v>0</v>
      </c>
      <c r="Z94" s="350"/>
      <c r="AA94" s="350"/>
      <c r="AB94" s="350"/>
      <c r="AC94" s="350"/>
      <c r="AD94" s="351"/>
      <c r="AE94" s="349">
        <f t="shared" si="4"/>
        <v>0</v>
      </c>
      <c r="AF94" s="350"/>
      <c r="AG94" s="350"/>
      <c r="AH94" s="350"/>
      <c r="AI94" s="350"/>
      <c r="AJ94" s="352"/>
      <c r="AK94" s="353">
        <f t="shared" si="0"/>
        <v>0</v>
      </c>
      <c r="AL94" s="354"/>
      <c r="AM94" s="354"/>
      <c r="AN94" s="354"/>
      <c r="AO94" s="354"/>
      <c r="AP94" s="355"/>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Information'!$AG$31="Yes"),AND(B94="2024-2025",'Basic Information'!$AG$34="Yes")),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Information'!$AG$34="No"),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Information'!$AG$31="Yes"),AND(B94="2024-2025",'Basic Information'!$AG$34="Yes")),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Information'!$AG$34="No"),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Information'!$AG$31="Yes"),AND(B94="2024-2025",'Basic Information'!$AG$34="Yes")),IF(AND(MROUND(S94,10)&lt;=500000,MROUND(S94,10)&lt;&gt;0),IF(AX94&lt;=12500, AX94,12500),0), IF(OR(AND(B94="2023-2024",'Basic Information'!$AG$31="No")),IF(AND(MROUND(S94,10)&lt;=700000,MROUND(S94,10)&lt;&gt;0),IF(AX94&lt;=25000, AX94,25000),IF(AND(MROUND(S94,10)&lt;&gt;0,(MROUND(S94,10)-700000)&lt;= AX94), AX94-(MROUND(S94,10)-700000),0)), IF(OR(AND(B94="2024-2025",'Basic Information'!$AG$34="No")),IF(AND(MROUND(S94,10)&lt;=700000,MROUND(S94,10)&lt;&gt;0),IF(AX94&lt;=20000, AX94,20000),IF(AND(MROUND(S94,10)&lt;&gt;0,(MROUND(S94,10)-700000)&lt;= AX94), AX94-(MROUND(S94,10)-700000),0)),0))))))</f>
        <v>0</v>
      </c>
      <c r="AZ94" s="6">
        <f t="shared" si="7"/>
        <v>0</v>
      </c>
      <c r="BA94" s="6">
        <f t="shared" si="8"/>
        <v>0</v>
      </c>
    </row>
    <row r="95" spans="2:53" x14ac:dyDescent="0.3">
      <c r="B95" s="551" t="str">
        <f>IF(ISBLANK('Form 10E - Old Scheme'!B95),"",'Form 10E - Old Scheme'!B95)</f>
        <v/>
      </c>
      <c r="C95" s="552"/>
      <c r="D95" s="552"/>
      <c r="E95" s="552"/>
      <c r="F95" s="553"/>
      <c r="G95" s="349">
        <f>IF(ISNUMBER('Form 10E - Old Scheme'!G95),'Form 10E - Old Scheme'!G95,0)</f>
        <v>0</v>
      </c>
      <c r="H95" s="350"/>
      <c r="I95" s="350"/>
      <c r="J95" s="350"/>
      <c r="K95" s="350"/>
      <c r="L95" s="351"/>
      <c r="M95" s="349">
        <f>IF(ISNUMBER('Form 10E - Old Scheme'!M95),'Form 10E - Old Scheme'!M95,0)</f>
        <v>0</v>
      </c>
      <c r="N95" s="350"/>
      <c r="O95" s="350"/>
      <c r="P95" s="350"/>
      <c r="Q95" s="350"/>
      <c r="R95" s="351"/>
      <c r="S95" s="349">
        <f t="shared" si="2"/>
        <v>0</v>
      </c>
      <c r="T95" s="350"/>
      <c r="U95" s="350"/>
      <c r="V95" s="350"/>
      <c r="W95" s="350"/>
      <c r="X95" s="351"/>
      <c r="Y95" s="349">
        <f t="shared" si="3"/>
        <v>0</v>
      </c>
      <c r="Z95" s="350"/>
      <c r="AA95" s="350"/>
      <c r="AB95" s="350"/>
      <c r="AC95" s="350"/>
      <c r="AD95" s="351"/>
      <c r="AE95" s="349">
        <f t="shared" si="4"/>
        <v>0</v>
      </c>
      <c r="AF95" s="350"/>
      <c r="AG95" s="350"/>
      <c r="AH95" s="350"/>
      <c r="AI95" s="350"/>
      <c r="AJ95" s="352"/>
      <c r="AK95" s="353">
        <f t="shared" si="0"/>
        <v>0</v>
      </c>
      <c r="AL95" s="354"/>
      <c r="AM95" s="354"/>
      <c r="AN95" s="354"/>
      <c r="AO95" s="354"/>
      <c r="AP95" s="355"/>
      <c r="AQ95" s="38"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Information'!$AG$31="Yes"),AND(B95="2024-2025",'Basic Information'!$AG$34="Yes")),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Information'!$AG$34="No"),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Information'!$AG$31="Yes"),AND(B95="2024-2025",'Basic Information'!$AG$34="Yes")),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Information'!$AG$34="No"),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Information'!$AG$31="Yes"),AND(B95="2024-2025",'Basic Information'!$AG$34="Yes")),IF(AND(MROUND(S95,10)&lt;=500000,MROUND(S95,10)&lt;&gt;0),IF(AX95&lt;=12500, AX95,12500),0), IF(OR(AND(B95="2023-2024",'Basic Information'!$AG$31="No")),IF(AND(MROUND(S95,10)&lt;=700000,MROUND(S95,10)&lt;&gt;0),IF(AX95&lt;=25000, AX95,25000),IF(AND(MROUND(S95,10)&lt;&gt;0,(MROUND(S95,10)-700000)&lt;= AX95), AX95-(MROUND(S95,10)-700000),0)), IF(OR(AND(B95="2024-2025",'Basic Information'!$AG$34="No")),IF(AND(MROUND(S95,10)&lt;=700000,MROUND(S95,10)&lt;&gt;0),IF(AX95&lt;=20000, AX95,20000),IF(AND(MROUND(S95,10)&lt;&gt;0,(MROUND(S95,10)-700000)&lt;= AX95), AX95-(MROUND(S95,10)-700000),0)),0))))))</f>
        <v>0</v>
      </c>
      <c r="AZ95" s="6">
        <f t="shared" si="7"/>
        <v>0</v>
      </c>
      <c r="BA95" s="6">
        <f t="shared" si="8"/>
        <v>0</v>
      </c>
    </row>
    <row r="96" spans="2:53" x14ac:dyDescent="0.3">
      <c r="B96" s="551" t="str">
        <f>IF(ISBLANK('Form 10E - Old Scheme'!B96),"",'Form 10E - Old Scheme'!B96)</f>
        <v/>
      </c>
      <c r="C96" s="552"/>
      <c r="D96" s="552"/>
      <c r="E96" s="552"/>
      <c r="F96" s="553"/>
      <c r="G96" s="349">
        <f>IF(ISNUMBER('Form 10E - Old Scheme'!G96),'Form 10E - Old Scheme'!G96,0)</f>
        <v>0</v>
      </c>
      <c r="H96" s="350"/>
      <c r="I96" s="350"/>
      <c r="J96" s="350"/>
      <c r="K96" s="350"/>
      <c r="L96" s="351"/>
      <c r="M96" s="349">
        <f>IF(ISNUMBER('Form 10E - Old Scheme'!M96),'Form 10E - Old Scheme'!M96,0)</f>
        <v>0</v>
      </c>
      <c r="N96" s="350"/>
      <c r="O96" s="350"/>
      <c r="P96" s="350"/>
      <c r="Q96" s="350"/>
      <c r="R96" s="351"/>
      <c r="S96" s="349">
        <f t="shared" si="2"/>
        <v>0</v>
      </c>
      <c r="T96" s="350"/>
      <c r="U96" s="350"/>
      <c r="V96" s="350"/>
      <c r="W96" s="350"/>
      <c r="X96" s="351"/>
      <c r="Y96" s="349">
        <f t="shared" si="3"/>
        <v>0</v>
      </c>
      <c r="Z96" s="350"/>
      <c r="AA96" s="350"/>
      <c r="AB96" s="350"/>
      <c r="AC96" s="350"/>
      <c r="AD96" s="351"/>
      <c r="AE96" s="349">
        <f t="shared" si="4"/>
        <v>0</v>
      </c>
      <c r="AF96" s="350"/>
      <c r="AG96" s="350"/>
      <c r="AH96" s="350"/>
      <c r="AI96" s="350"/>
      <c r="AJ96" s="352"/>
      <c r="AK96" s="353">
        <f t="shared" si="0"/>
        <v>0</v>
      </c>
      <c r="AL96" s="354"/>
      <c r="AM96" s="354"/>
      <c r="AN96" s="354"/>
      <c r="AO96" s="354"/>
      <c r="AP96" s="355"/>
      <c r="AQ96" s="38"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Information'!$AG$31="Yes"),AND(B96="2024-2025",'Basic Information'!$AG$34="Yes")),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Information'!$AG$34="No"),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Information'!$AG$31="Yes"),AND(B96="2024-2025",'Basic Information'!$AG$34="Yes")),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Information'!$AG$34="No"),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Information'!$AG$31="Yes"),AND(B96="2024-2025",'Basic Information'!$AG$34="Yes")),IF(AND(MROUND(S96,10)&lt;=500000,MROUND(S96,10)&lt;&gt;0),IF(AX96&lt;=12500, AX96,12500),0), IF(OR(AND(B96="2023-2024",'Basic Information'!$AG$31="No")),IF(AND(MROUND(S96,10)&lt;=700000,MROUND(S96,10)&lt;&gt;0),IF(AX96&lt;=25000, AX96,25000),IF(AND(MROUND(S96,10)&lt;&gt;0,(MROUND(S96,10)-700000)&lt;= AX96), AX96-(MROUND(S96,10)-700000),0)), IF(OR(AND(B96="2024-2025",'Basic Information'!$AG$34="No")),IF(AND(MROUND(S96,10)&lt;=700000,MROUND(S96,10)&lt;&gt;0),IF(AX96&lt;=20000, AX96,20000),IF(AND(MROUND(S96,10)&lt;&gt;0,(MROUND(S96,10)-700000)&lt;= AX96), AX96-(MROUND(S96,10)-700000),0)),0))))))</f>
        <v>0</v>
      </c>
      <c r="AZ96" s="6">
        <f t="shared" si="7"/>
        <v>0</v>
      </c>
      <c r="BA96" s="6">
        <f t="shared" si="8"/>
        <v>0</v>
      </c>
    </row>
    <row r="97" spans="2:53" x14ac:dyDescent="0.3">
      <c r="B97" s="551" t="str">
        <f>IF(ISBLANK('Form 10E - Old Scheme'!B97),"",'Form 10E - Old Scheme'!B97)</f>
        <v/>
      </c>
      <c r="C97" s="552"/>
      <c r="D97" s="552"/>
      <c r="E97" s="552"/>
      <c r="F97" s="553"/>
      <c r="G97" s="349">
        <f>IF(ISNUMBER('Form 10E - Old Scheme'!G97),'Form 10E - Old Scheme'!G97,0)</f>
        <v>0</v>
      </c>
      <c r="H97" s="350"/>
      <c r="I97" s="350"/>
      <c r="J97" s="350"/>
      <c r="K97" s="350"/>
      <c r="L97" s="351"/>
      <c r="M97" s="349">
        <f>IF(ISNUMBER('Form 10E - Old Scheme'!M97),'Form 10E - Old Scheme'!M97,0)</f>
        <v>0</v>
      </c>
      <c r="N97" s="350"/>
      <c r="O97" s="350"/>
      <c r="P97" s="350"/>
      <c r="Q97" s="350"/>
      <c r="R97" s="351"/>
      <c r="S97" s="349">
        <f t="shared" si="2"/>
        <v>0</v>
      </c>
      <c r="T97" s="350"/>
      <c r="U97" s="350"/>
      <c r="V97" s="350"/>
      <c r="W97" s="350"/>
      <c r="X97" s="351"/>
      <c r="Y97" s="349">
        <f t="shared" si="3"/>
        <v>0</v>
      </c>
      <c r="Z97" s="350"/>
      <c r="AA97" s="350"/>
      <c r="AB97" s="350"/>
      <c r="AC97" s="350"/>
      <c r="AD97" s="351"/>
      <c r="AE97" s="349">
        <f t="shared" si="4"/>
        <v>0</v>
      </c>
      <c r="AF97" s="350"/>
      <c r="AG97" s="350"/>
      <c r="AH97" s="350"/>
      <c r="AI97" s="350"/>
      <c r="AJ97" s="352"/>
      <c r="AK97" s="353">
        <f t="shared" si="0"/>
        <v>0</v>
      </c>
      <c r="AL97" s="354"/>
      <c r="AM97" s="354"/>
      <c r="AN97" s="354"/>
      <c r="AO97" s="354"/>
      <c r="AP97" s="355"/>
      <c r="AQ97" s="38"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Information'!$AG$31="Yes"),AND(B97="2024-2025",'Basic Information'!$AG$34="Yes")),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Information'!$AG$34="No"),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Information'!$AG$31="Yes"),AND(B97="2024-2025",'Basic Information'!$AG$34="Yes")),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Information'!$AG$34="No"),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Information'!$AG$31="Yes"),AND(B97="2024-2025",'Basic Information'!$AG$34="Yes")),IF(AND(MROUND(S97,10)&lt;=500000,MROUND(S97,10)&lt;&gt;0),IF(AX97&lt;=12500, AX97,12500),0), IF(OR(AND(B97="2023-2024",'Basic Information'!$AG$31="No")),IF(AND(MROUND(S97,10)&lt;=700000,MROUND(S97,10)&lt;&gt;0),IF(AX97&lt;=25000, AX97,25000),IF(AND(MROUND(S97,10)&lt;&gt;0,(MROUND(S97,10)-700000)&lt;= AX97), AX97-(MROUND(S97,10)-700000),0)), IF(OR(AND(B97="2024-2025",'Basic Information'!$AG$34="No")),IF(AND(MROUND(S97,10)&lt;=700000,MROUND(S97,10)&lt;&gt;0),IF(AX97&lt;=20000, AX97,20000),IF(AND(MROUND(S97,10)&lt;&gt;0,(MROUND(S97,10)-700000)&lt;= AX97), AX97-(MROUND(S97,10)-700000),0)),0))))))</f>
        <v>0</v>
      </c>
      <c r="AZ97" s="6">
        <f t="shared" si="7"/>
        <v>0</v>
      </c>
      <c r="BA97" s="6">
        <f t="shared" si="8"/>
        <v>0</v>
      </c>
    </row>
    <row r="98" spans="2:53" x14ac:dyDescent="0.3">
      <c r="B98" s="551" t="str">
        <f>IF(ISBLANK('Form 10E - Old Scheme'!B98),"",'Form 10E - Old Scheme'!B98)</f>
        <v/>
      </c>
      <c r="C98" s="552"/>
      <c r="D98" s="552"/>
      <c r="E98" s="552"/>
      <c r="F98" s="553"/>
      <c r="G98" s="349">
        <f>IF(ISNUMBER('Form 10E - Old Scheme'!G98),'Form 10E - Old Scheme'!G98,0)</f>
        <v>0</v>
      </c>
      <c r="H98" s="350"/>
      <c r="I98" s="350"/>
      <c r="J98" s="350"/>
      <c r="K98" s="350"/>
      <c r="L98" s="351"/>
      <c r="M98" s="349">
        <f>IF(ISNUMBER('Form 10E - Old Scheme'!M98),'Form 10E - Old Scheme'!M98,0)</f>
        <v>0</v>
      </c>
      <c r="N98" s="350"/>
      <c r="O98" s="350"/>
      <c r="P98" s="350"/>
      <c r="Q98" s="350"/>
      <c r="R98" s="351"/>
      <c r="S98" s="349">
        <f t="shared" si="2"/>
        <v>0</v>
      </c>
      <c r="T98" s="350"/>
      <c r="U98" s="350"/>
      <c r="V98" s="350"/>
      <c r="W98" s="350"/>
      <c r="X98" s="351"/>
      <c r="Y98" s="349">
        <f t="shared" si="3"/>
        <v>0</v>
      </c>
      <c r="Z98" s="350"/>
      <c r="AA98" s="350"/>
      <c r="AB98" s="350"/>
      <c r="AC98" s="350"/>
      <c r="AD98" s="351"/>
      <c r="AE98" s="349">
        <f t="shared" si="4"/>
        <v>0</v>
      </c>
      <c r="AF98" s="350"/>
      <c r="AG98" s="350"/>
      <c r="AH98" s="350"/>
      <c r="AI98" s="350"/>
      <c r="AJ98" s="352"/>
      <c r="AK98" s="353">
        <f t="shared" si="0"/>
        <v>0</v>
      </c>
      <c r="AL98" s="354"/>
      <c r="AM98" s="354"/>
      <c r="AN98" s="354"/>
      <c r="AO98" s="354"/>
      <c r="AP98" s="355"/>
      <c r="AQ98" s="38"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Information'!$AG$31="Yes"),AND(B98="2024-2025",'Basic Information'!$AG$34="Yes")),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Information'!$AG$34="No"),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Information'!$AG$31="Yes"),AND(B98="2024-2025",'Basic Information'!$AG$34="Yes")),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Information'!$AG$34="No"),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Information'!$AG$31="Yes"),AND(B98="2024-2025",'Basic Information'!$AG$34="Yes")),IF(AND(MROUND(S98,10)&lt;=500000,MROUND(S98,10)&lt;&gt;0),IF(AX98&lt;=12500, AX98,12500),0), IF(OR(AND(B98="2023-2024",'Basic Information'!$AG$31="No")),IF(AND(MROUND(S98,10)&lt;=700000,MROUND(S98,10)&lt;&gt;0),IF(AX98&lt;=25000, AX98,25000),IF(AND(MROUND(S98,10)&lt;&gt;0,(MROUND(S98,10)-700000)&lt;= AX98), AX98-(MROUND(S98,10)-700000),0)), IF(OR(AND(B98="2024-2025",'Basic Information'!$AG$34="No")),IF(AND(MROUND(S98,10)&lt;=700000,MROUND(S98,10)&lt;&gt;0),IF(AX98&lt;=20000, AX98,20000),IF(AND(MROUND(S98,10)&lt;&gt;0,(MROUND(S98,10)-700000)&lt;= AX98), AX98-(MROUND(S98,10)-700000),0)),0))))))</f>
        <v>0</v>
      </c>
      <c r="AZ98" s="6">
        <f t="shared" si="7"/>
        <v>0</v>
      </c>
      <c r="BA98" s="6">
        <f t="shared" si="8"/>
        <v>0</v>
      </c>
    </row>
    <row r="99" spans="2:53" x14ac:dyDescent="0.3">
      <c r="B99" s="551" t="str">
        <f>IF(ISBLANK('Form 10E - Old Scheme'!B99),"",'Form 10E - Old Scheme'!B99)</f>
        <v/>
      </c>
      <c r="C99" s="552"/>
      <c r="D99" s="552"/>
      <c r="E99" s="552"/>
      <c r="F99" s="553"/>
      <c r="G99" s="349">
        <f>IF(ISNUMBER('Form 10E - Old Scheme'!G99),'Form 10E - Old Scheme'!G99,0)</f>
        <v>0</v>
      </c>
      <c r="H99" s="350"/>
      <c r="I99" s="350"/>
      <c r="J99" s="350"/>
      <c r="K99" s="350"/>
      <c r="L99" s="351"/>
      <c r="M99" s="349">
        <f>IF(ISNUMBER('Form 10E - Old Scheme'!M99),'Form 10E - Old Scheme'!M99,0)</f>
        <v>0</v>
      </c>
      <c r="N99" s="350"/>
      <c r="O99" s="350"/>
      <c r="P99" s="350"/>
      <c r="Q99" s="350"/>
      <c r="R99" s="351"/>
      <c r="S99" s="349">
        <f t="shared" si="2"/>
        <v>0</v>
      </c>
      <c r="T99" s="350"/>
      <c r="U99" s="350"/>
      <c r="V99" s="350"/>
      <c r="W99" s="350"/>
      <c r="X99" s="351"/>
      <c r="Y99" s="349">
        <f t="shared" si="3"/>
        <v>0</v>
      </c>
      <c r="Z99" s="350"/>
      <c r="AA99" s="350"/>
      <c r="AB99" s="350"/>
      <c r="AC99" s="350"/>
      <c r="AD99" s="351"/>
      <c r="AE99" s="349">
        <f t="shared" si="4"/>
        <v>0</v>
      </c>
      <c r="AF99" s="350"/>
      <c r="AG99" s="350"/>
      <c r="AH99" s="350"/>
      <c r="AI99" s="350"/>
      <c r="AJ99" s="352"/>
      <c r="AK99" s="353">
        <f t="shared" si="0"/>
        <v>0</v>
      </c>
      <c r="AL99" s="354"/>
      <c r="AM99" s="354"/>
      <c r="AN99" s="354"/>
      <c r="AO99" s="354"/>
      <c r="AP99" s="355"/>
      <c r="AQ99" s="38"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Information'!$AG$31="Yes"),AND(B99="2024-2025",'Basic Information'!$AG$34="Yes")),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Information'!$AG$34="No"),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Information'!$AG$31="Yes"),AND(B99="2024-2025",'Basic Information'!$AG$34="Yes")),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Information'!$AG$34="No"),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Information'!$AG$31="Yes"),AND(B99="2024-2025",'Basic Information'!$AG$34="Yes")),IF(AND(MROUND(S99,10)&lt;=500000,MROUND(S99,10)&lt;&gt;0),IF(AX99&lt;=12500, AX99,12500),0), IF(OR(AND(B99="2023-2024",'Basic Information'!$AG$31="No")),IF(AND(MROUND(S99,10)&lt;=700000,MROUND(S99,10)&lt;&gt;0),IF(AX99&lt;=25000, AX99,25000),IF(AND(MROUND(S99,10)&lt;&gt;0,(MROUND(S99,10)-700000)&lt;= AX99), AX99-(MROUND(S99,10)-700000),0)), IF(OR(AND(B99="2024-2025",'Basic Information'!$AG$34="No")),IF(AND(MROUND(S99,10)&lt;=700000,MROUND(S99,10)&lt;&gt;0),IF(AX99&lt;=20000, AX99,20000),IF(AND(MROUND(S99,10)&lt;&gt;0,(MROUND(S99,10)-700000)&lt;= AX99), AX99-(MROUND(S99,10)-700000),0)),0))))))</f>
        <v>0</v>
      </c>
      <c r="AZ99" s="6">
        <f t="shared" si="7"/>
        <v>0</v>
      </c>
      <c r="BA99" s="6">
        <f t="shared" si="8"/>
        <v>0</v>
      </c>
    </row>
    <row r="100" spans="2:53" x14ac:dyDescent="0.3">
      <c r="B100" s="551" t="str">
        <f>IF(ISBLANK('Form 10E - Old Scheme'!B100),"",'Form 10E - Old Scheme'!B100)</f>
        <v/>
      </c>
      <c r="C100" s="552"/>
      <c r="D100" s="552"/>
      <c r="E100" s="552"/>
      <c r="F100" s="553"/>
      <c r="G100" s="349">
        <f>IF(ISNUMBER('Form 10E - Old Scheme'!G100),'Form 10E - Old Scheme'!G100,0)</f>
        <v>0</v>
      </c>
      <c r="H100" s="350"/>
      <c r="I100" s="350"/>
      <c r="J100" s="350"/>
      <c r="K100" s="350"/>
      <c r="L100" s="351"/>
      <c r="M100" s="349">
        <f>IF(ISNUMBER('Form 10E - Old Scheme'!M100),'Form 10E - Old Scheme'!M100,0)</f>
        <v>0</v>
      </c>
      <c r="N100" s="350"/>
      <c r="O100" s="350"/>
      <c r="P100" s="350"/>
      <c r="Q100" s="350"/>
      <c r="R100" s="351"/>
      <c r="S100" s="349">
        <f t="shared" si="2"/>
        <v>0</v>
      </c>
      <c r="T100" s="350"/>
      <c r="U100" s="350"/>
      <c r="V100" s="350"/>
      <c r="W100" s="350"/>
      <c r="X100" s="351"/>
      <c r="Y100" s="349">
        <f t="shared" si="3"/>
        <v>0</v>
      </c>
      <c r="Z100" s="350"/>
      <c r="AA100" s="350"/>
      <c r="AB100" s="350"/>
      <c r="AC100" s="350"/>
      <c r="AD100" s="351"/>
      <c r="AE100" s="349">
        <f t="shared" si="4"/>
        <v>0</v>
      </c>
      <c r="AF100" s="350"/>
      <c r="AG100" s="350"/>
      <c r="AH100" s="350"/>
      <c r="AI100" s="350"/>
      <c r="AJ100" s="352"/>
      <c r="AK100" s="353">
        <f t="shared" ref="AK100" si="10">ABS(AE100-Y100)</f>
        <v>0</v>
      </c>
      <c r="AL100" s="354"/>
      <c r="AM100" s="354"/>
      <c r="AN100" s="354"/>
      <c r="AO100" s="354"/>
      <c r="AP100" s="355"/>
      <c r="AQ100" s="38"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Information'!$AG$31="Yes"),AND(B100="2024-2025",'Basic Information'!$AG$34="Yes")),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Information'!$AG$34="No"),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Information'!$AG$31="Yes"),AND(B100="2024-2025",'Basic Information'!$AG$34="Yes")),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Information'!$AG$34="No"),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Information'!$AG$31="Yes"),AND(B100="2024-2025",'Basic Information'!$AG$34="Yes")),IF(AND(MROUND(S100,10)&lt;=500000,MROUND(S100,10)&lt;&gt;0),IF(AX100&lt;=12500, AX100,12500),0), IF(OR(AND(B100="2023-2024",'Basic Information'!$AG$31="No")),IF(AND(MROUND(S100,10)&lt;=700000,MROUND(S100,10)&lt;&gt;0),IF(AX100&lt;=25000, AX100,25000),IF(AND(MROUND(S100,10)&lt;&gt;0,(MROUND(S100,10)-700000)&lt;= AX100), AX100-(MROUND(S100,10)-700000),0)), IF(OR(AND(B100="2024-2025",'Basic Information'!$AG$34="No")),IF(AND(MROUND(S100,10)&lt;=700000,MROUND(S100,10)&lt;&gt;0),IF(AX100&lt;=20000, AX100,20000),IF(AND(MROUND(S100,10)&lt;&gt;0,(MROUND(S100,10)-700000)&lt;= AX100), AX100-(MROUND(S100,10)-700000),0)),0))))))</f>
        <v>0</v>
      </c>
      <c r="AZ100" s="6">
        <f t="shared" si="7"/>
        <v>0</v>
      </c>
      <c r="BA100" s="6">
        <f t="shared" si="8"/>
        <v>0</v>
      </c>
    </row>
    <row r="101" spans="2:53" x14ac:dyDescent="0.3">
      <c r="B101" s="551" t="str">
        <f>IF(ISBLANK('Form 10E - Old Scheme'!B101),"",'Form 10E - Old Scheme'!B101)</f>
        <v/>
      </c>
      <c r="C101" s="552"/>
      <c r="D101" s="552"/>
      <c r="E101" s="552"/>
      <c r="F101" s="553"/>
      <c r="G101" s="349">
        <f>IF(ISNUMBER('Form 10E - Old Scheme'!G101),'Form 10E - Old Scheme'!G101,0)</f>
        <v>0</v>
      </c>
      <c r="H101" s="350"/>
      <c r="I101" s="350"/>
      <c r="J101" s="350"/>
      <c r="K101" s="350"/>
      <c r="L101" s="351"/>
      <c r="M101" s="349">
        <f>IF(ISNUMBER('Form 10E - Old Scheme'!M101),'Form 10E - Old Scheme'!M101,0)</f>
        <v>0</v>
      </c>
      <c r="N101" s="350"/>
      <c r="O101" s="350"/>
      <c r="P101" s="350"/>
      <c r="Q101" s="350"/>
      <c r="R101" s="351"/>
      <c r="S101" s="349">
        <f>SUM(G101,M101)</f>
        <v>0</v>
      </c>
      <c r="T101" s="350"/>
      <c r="U101" s="350"/>
      <c r="V101" s="350"/>
      <c r="W101" s="350"/>
      <c r="X101" s="351"/>
      <c r="Y101" s="349">
        <f>MROUND(SUM(AV101,AW101),10)</f>
        <v>0</v>
      </c>
      <c r="Z101" s="350"/>
      <c r="AA101" s="350"/>
      <c r="AB101" s="350"/>
      <c r="AC101" s="350"/>
      <c r="AD101" s="351"/>
      <c r="AE101" s="349">
        <f>SUM(AZ101,BA101)</f>
        <v>0</v>
      </c>
      <c r="AF101" s="350"/>
      <c r="AG101" s="350"/>
      <c r="AH101" s="350"/>
      <c r="AI101" s="350"/>
      <c r="AJ101" s="352"/>
      <c r="AK101" s="353">
        <f t="shared" si="0"/>
        <v>0</v>
      </c>
      <c r="AL101" s="354"/>
      <c r="AM101" s="354"/>
      <c r="AN101" s="354"/>
      <c r="AO101" s="354"/>
      <c r="AP101" s="355"/>
      <c r="AQ101" s="38"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Information'!$AG$31="Yes"),AND(B101="2024-2025",'Basic Information'!$AG$34="Yes")),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Information'!$AG$34="No"),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Information'!$AG$31="Yes"),AND(B101="2024-2025",'Basic Information'!$AG$34="Yes")),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Information'!$AG$34="No"),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Information'!$AG$31="Yes"),AND(B101="2024-2025",'Basic Information'!$AG$34="Yes")),IF(AND(MROUND(S101,10)&lt;=500000,MROUND(S101,10)&lt;&gt;0),IF(AX101&lt;=12500, AX101,12500),0), IF(OR(AND(B101="2023-2024",'Basic Information'!$AG$31="No")),IF(AND(MROUND(S101,10)&lt;=700000,MROUND(S101,10)&lt;&gt;0),IF(AX101&lt;=25000, AX101,25000),IF(AND(MROUND(S101,10)&lt;&gt;0,(MROUND(S101,10)-700000)&lt;= AX101), AX101-(MROUND(S101,10)-700000),0)), IF(OR(AND(B101="2024-2025",'Basic Information'!$AG$34="No")),IF(AND(MROUND(S101,10)&lt;=700000,MROUND(S101,10)&lt;&gt;0),IF(AX101&lt;=20000, AX101,20000),IF(AND(MROUND(S101,10)&lt;&gt;0,(MROUND(S101,10)-700000)&lt;= AX101), AX101-(MROUND(S101,10)-700000),0)),0))))))</f>
        <v>0</v>
      </c>
      <c r="AZ101" s="6">
        <f t="shared" si="7"/>
        <v>0</v>
      </c>
      <c r="BA101" s="6">
        <f t="shared" si="8"/>
        <v>0</v>
      </c>
    </row>
    <row r="102" spans="2:53" x14ac:dyDescent="0.3">
      <c r="B102" s="346" t="s">
        <v>72</v>
      </c>
      <c r="C102" s="347"/>
      <c r="D102" s="347"/>
      <c r="E102" s="347"/>
      <c r="F102" s="348"/>
      <c r="G102" s="349">
        <f>SUM(G92:G101)</f>
        <v>0</v>
      </c>
      <c r="H102" s="350"/>
      <c r="I102" s="350"/>
      <c r="J102" s="350"/>
      <c r="K102" s="350"/>
      <c r="L102" s="351"/>
      <c r="M102" s="349">
        <f>SUM(M92:M101)</f>
        <v>0</v>
      </c>
      <c r="N102" s="350"/>
      <c r="O102" s="350"/>
      <c r="P102" s="350"/>
      <c r="Q102" s="350"/>
      <c r="R102" s="351"/>
      <c r="S102" s="349">
        <f>SUM(S92:S101)</f>
        <v>0</v>
      </c>
      <c r="T102" s="350"/>
      <c r="U102" s="350"/>
      <c r="V102" s="350"/>
      <c r="W102" s="350"/>
      <c r="X102" s="351"/>
      <c r="Y102" s="349">
        <f>SUM(Y92:Y101)</f>
        <v>0</v>
      </c>
      <c r="Z102" s="350"/>
      <c r="AA102" s="350"/>
      <c r="AB102" s="350"/>
      <c r="AC102" s="350"/>
      <c r="AD102" s="351"/>
      <c r="AE102" s="349">
        <f>SUM(AE92:AE101)</f>
        <v>0</v>
      </c>
      <c r="AF102" s="350"/>
      <c r="AG102" s="350"/>
      <c r="AH102" s="350"/>
      <c r="AI102" s="350"/>
      <c r="AJ102" s="352"/>
      <c r="AK102" s="353">
        <f>SUM(AK92:AK101)</f>
        <v>0</v>
      </c>
      <c r="AL102" s="354"/>
      <c r="AM102" s="354"/>
      <c r="AN102" s="354"/>
      <c r="AO102" s="354"/>
      <c r="AP102" s="355"/>
      <c r="AQ102" s="49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53"/>
      <c r="AS102" s="153"/>
      <c r="AT102" s="153"/>
      <c r="AU102" s="153"/>
      <c r="AV102" s="153"/>
      <c r="AW102" s="153"/>
    </row>
    <row r="103" spans="2:53" ht="30.75" customHeight="1" x14ac:dyDescent="0.3">
      <c r="B103" s="8"/>
      <c r="AQ103" s="153"/>
      <c r="AR103" s="153"/>
      <c r="AS103" s="153"/>
      <c r="AT103" s="153"/>
      <c r="AU103" s="153"/>
      <c r="AV103" s="153"/>
      <c r="AW103" s="153"/>
    </row>
    <row r="104" spans="2:53" x14ac:dyDescent="0.3">
      <c r="B104" s="497" t="s">
        <v>73</v>
      </c>
      <c r="C104" s="497"/>
      <c r="D104" s="497"/>
      <c r="E104" s="497"/>
      <c r="F104" s="497"/>
      <c r="G104" s="497"/>
      <c r="H104" s="497"/>
      <c r="I104" s="497"/>
      <c r="J104" s="497"/>
      <c r="K104" s="497"/>
      <c r="L104" s="8" t="s">
        <v>5</v>
      </c>
      <c r="M104" s="449" t="str">
        <f>PROPER(D45)</f>
        <v xml:space="preserve"> </v>
      </c>
      <c r="N104" s="449"/>
      <c r="O104" s="449"/>
      <c r="P104" s="449"/>
      <c r="Q104" s="449"/>
      <c r="R104" s="449"/>
      <c r="S104" s="449"/>
      <c r="T104" s="449"/>
      <c r="U104" s="449"/>
      <c r="V104" s="449"/>
      <c r="W104" s="449"/>
      <c r="X104" s="449"/>
      <c r="Y104" s="449"/>
      <c r="Z104" s="449"/>
      <c r="AB104" s="434" t="s">
        <v>51</v>
      </c>
      <c r="AC104" s="434"/>
      <c r="AD104" s="434"/>
      <c r="AE104" s="434"/>
      <c r="AF104" s="434"/>
      <c r="AG104" s="434"/>
      <c r="AH104" s="434"/>
      <c r="AI104" s="434"/>
      <c r="AJ104" s="434"/>
      <c r="AK104" s="434"/>
      <c r="AL104" s="434"/>
      <c r="AM104" s="434"/>
    </row>
  </sheetData>
  <sheetProtection algorithmName="SHA-512" hashValue="9FZddR8G0p9LWOGSOkN7r9yuWYodOZqWn4V9U+Hrsbv7JotlWq6hwdj7e7rYaiizHTwqG6U1c+BILTqDzOiWRQ==" saltValue="HOenKnfBHroX80KJeDjjfg==" spinCount="100000" sheet="1" objects="1" scenarios="1" selectLockedCells="1"/>
  <mergeCells count="199">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 ref="D19:S19"/>
    <mergeCell ref="U19:AN19"/>
    <mergeCell ref="D20:S20"/>
    <mergeCell ref="U20:AN20"/>
    <mergeCell ref="D21:S21"/>
    <mergeCell ref="U21:AN21"/>
    <mergeCell ref="G25:Z25"/>
    <mergeCell ref="AA25:AL25"/>
    <mergeCell ref="F32:AE37"/>
    <mergeCell ref="AF32:AN37"/>
    <mergeCell ref="F29:AE31"/>
    <mergeCell ref="AF29:AN31"/>
    <mergeCell ref="B5:AN5"/>
    <mergeCell ref="D6:AN6"/>
    <mergeCell ref="B7:AN7"/>
    <mergeCell ref="B8:AN8"/>
    <mergeCell ref="C10:AN10"/>
    <mergeCell ref="AR2:AW4"/>
    <mergeCell ref="AR5:AT6"/>
    <mergeCell ref="AS7:AV8"/>
    <mergeCell ref="AR9:AV10"/>
    <mergeCell ref="B2:AN2"/>
    <mergeCell ref="B3:AN3"/>
    <mergeCell ref="U16:AN16"/>
    <mergeCell ref="D17:S17"/>
    <mergeCell ref="U17:AN17"/>
    <mergeCell ref="D18:S18"/>
    <mergeCell ref="U18:AN18"/>
    <mergeCell ref="D13:S13"/>
    <mergeCell ref="U13:AN13"/>
    <mergeCell ref="D14:S14"/>
    <mergeCell ref="U14:AN14"/>
    <mergeCell ref="D15:S15"/>
    <mergeCell ref="U15:AN15"/>
    <mergeCell ref="D16:S16"/>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2025-11-01T08:18:36Z</dcterms:modified>
</cp:coreProperties>
</file>